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nie\OneDrive\Desktop\webinar-cuanto-debo-pagar\"/>
    </mc:Choice>
  </mc:AlternateContent>
  <xr:revisionPtr revIDLastSave="0" documentId="13_ncr:1_{50BCBB5E-0887-4C94-8D37-8EB73A8E95D7}" xr6:coauthVersionLast="47" xr6:coauthVersionMax="47" xr10:uidLastSave="{00000000-0000-0000-0000-000000000000}"/>
  <bookViews>
    <workbookView xWindow="28680" yWindow="-720" windowWidth="29040" windowHeight="15720" tabRatio="868" firstSheet="1" activeTab="1" xr2:uid="{241378CD-17B0-4015-8AD5-6C09DEDF6FBA}"/>
  </bookViews>
  <sheets>
    <sheet name="global grafico" sheetId="2" state="hidden" r:id="rId1"/>
    <sheet name="Global" sheetId="11" r:id="rId2"/>
  </sheets>
  <definedNames>
    <definedName name="_1_DFL2">Global!$C$25:$C$26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5" i="11" l="1"/>
  <c r="K10" i="11"/>
  <c r="M10" i="11"/>
  <c r="M23" i="11"/>
  <c r="M25" i="11" s="1"/>
  <c r="M11" i="11" s="1"/>
  <c r="K9" i="11"/>
  <c r="K8" i="11"/>
  <c r="K7" i="11"/>
  <c r="M9" i="11"/>
  <c r="M8" i="11"/>
  <c r="P8" i="11" s="1"/>
  <c r="O13" i="11" l="1"/>
  <c r="Q13" i="11" s="1"/>
  <c r="G20" i="11" s="1"/>
  <c r="O14" i="11"/>
  <c r="G19" i="11" s="1"/>
  <c r="F15" i="11"/>
  <c r="F14" i="11"/>
  <c r="D14" i="11"/>
  <c r="C15" i="11" s="1"/>
  <c r="F13" i="11"/>
  <c r="D13" i="11"/>
  <c r="C14" i="11" s="1"/>
  <c r="F12" i="11"/>
  <c r="D12" i="11"/>
  <c r="C13" i="11" s="1"/>
  <c r="F11" i="11"/>
  <c r="D11" i="11"/>
  <c r="C12" i="11" s="1"/>
  <c r="F10" i="11"/>
  <c r="D10" i="11"/>
  <c r="C11" i="11" s="1"/>
  <c r="F9" i="11"/>
  <c r="D9" i="11"/>
  <c r="C10" i="11" s="1"/>
  <c r="D8" i="11"/>
  <c r="C9" i="11" s="1"/>
  <c r="Q8" i="11"/>
  <c r="M15" i="11" l="1"/>
  <c r="G3" i="11" s="1"/>
  <c r="M7" i="11"/>
  <c r="O8" i="11"/>
  <c r="R8" i="11" l="1"/>
  <c r="H3" i="11"/>
  <c r="N17" i="11" s="1"/>
  <c r="G4" i="11" s="1"/>
  <c r="G5" i="11" l="1"/>
  <c r="G9" i="11" s="1"/>
  <c r="G11" i="11" l="1"/>
  <c r="G14" i="11"/>
  <c r="G15" i="11"/>
  <c r="G12" i="11"/>
  <c r="G10" i="11"/>
  <c r="G8" i="11"/>
  <c r="G13" i="11"/>
  <c r="G17" i="11" l="1"/>
  <c r="G18" i="11" s="1"/>
  <c r="G22" i="11" s="1"/>
  <c r="F22" i="11" s="1"/>
  <c r="O22" i="2" l="1"/>
  <c r="O21" i="2"/>
  <c r="M21" i="2"/>
  <c r="K21" i="2"/>
</calcChain>
</file>

<file path=xl/sharedStrings.xml><?xml version="1.0" encoding="utf-8"?>
<sst xmlns="http://schemas.openxmlformats.org/spreadsheetml/2006/main" count="74" uniqueCount="59">
  <si>
    <t>(*ajustar)</t>
  </si>
  <si>
    <t>TABLA DE IMPUESTO GLOBAL COMPLEMENTARIO</t>
  </si>
  <si>
    <t>DESDE</t>
  </si>
  <si>
    <t>HASTA</t>
  </si>
  <si>
    <t>FACTOR</t>
  </si>
  <si>
    <t>REBAJA</t>
  </si>
  <si>
    <t>IMPUESTO</t>
  </si>
  <si>
    <t>EXENTO</t>
  </si>
  <si>
    <t>Impuesto global</t>
  </si>
  <si>
    <t>renta bruta</t>
  </si>
  <si>
    <t>renta imponible</t>
  </si>
  <si>
    <t>REGIMEN GENERAL</t>
  </si>
  <si>
    <t>PROPYME  GENERAL</t>
  </si>
  <si>
    <t>ingresos</t>
  </si>
  <si>
    <t xml:space="preserve"> - gastos</t>
  </si>
  <si>
    <t>$$$$$$$$$$</t>
  </si>
  <si>
    <t>$$$$$$</t>
  </si>
  <si>
    <t>$$$$</t>
  </si>
  <si>
    <t xml:space="preserve"> = utilidad</t>
  </si>
  <si>
    <t>hasta 75.000 UF</t>
  </si>
  <si>
    <t>hasta 50.000 UF</t>
  </si>
  <si>
    <t>% impuesto</t>
  </si>
  <si>
    <t>CRÉDITO</t>
  </si>
  <si>
    <t>PAGO O DEV</t>
  </si>
  <si>
    <t>impuesto</t>
  </si>
  <si>
    <t>PROPYME TRANSP.</t>
  </si>
  <si>
    <t>$$$</t>
  </si>
  <si>
    <t>N° PROPIEDADES</t>
  </si>
  <si>
    <t>VALOR ARRIENDO</t>
  </si>
  <si>
    <t>INTERESES</t>
  </si>
  <si>
    <t>VALOR PROPIEDAD</t>
  </si>
  <si>
    <t>INGRESOS X SUELDO</t>
  </si>
  <si>
    <t>INGRESOS POR HONORARIOS</t>
  </si>
  <si>
    <t>CAPITAL</t>
  </si>
  <si>
    <t>CUOTA CRÉDITO</t>
  </si>
  <si>
    <t>SEGUROS</t>
  </si>
  <si>
    <t>*sueldo más retiros aumentan tu capacidad de crédito</t>
  </si>
  <si>
    <t>2A CATEGORIA</t>
  </si>
  <si>
    <t>intereses</t>
  </si>
  <si>
    <t xml:space="preserve"> + 2 DFL2</t>
  </si>
  <si>
    <t>https://www.sii.cl/valores_y_fechas/utm/utm2022.htm</t>
  </si>
  <si>
    <t>(ppm de honorarios)</t>
  </si>
  <si>
    <t>Crédito Honorarios</t>
  </si>
  <si>
    <t>Crédito retiros</t>
  </si>
  <si>
    <t>UF</t>
  </si>
  <si>
    <t>Contribuciones</t>
  </si>
  <si>
    <t>INGRESOS POR RETIROS 14A</t>
  </si>
  <si>
    <t>VENTA PROPIEDAD</t>
  </si>
  <si>
    <t xml:space="preserve"> &gt; 8,000 UF</t>
  </si>
  <si>
    <t>y mas</t>
  </si>
  <si>
    <t xml:space="preserve"> + 1 DFL2</t>
  </si>
  <si>
    <t>SIN DFL2</t>
  </si>
  <si>
    <t>UTM Dic 2024</t>
  </si>
  <si>
    <t>venta antes de un año</t>
  </si>
  <si>
    <t>utilidad</t>
  </si>
  <si>
    <t>Adquisición (Compra, Posesion Efectiva, etc)</t>
  </si>
  <si>
    <t>uf</t>
  </si>
  <si>
    <t>en CL$</t>
  </si>
  <si>
    <t>UTA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</si>
</sst>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&quot;$&quot;#,##0"/>
    <numFmt numFmtId="165" formatCode="&quot;$&quot;\ #,##0"/>
    <numFmt numFmtId="166" formatCode="0.000"/>
    <numFmt numFmtId="167" formatCode="&quot;$&quot;#,##0.0000"/>
    <numFmt numFmtId="168" formatCode="0.0%"/>
    <numFmt numFmtId="169" formatCode="&quot;M&quot;\ &quot;$&quot;#,##0"/>
    <numFmt numFmtId="170" formatCode="&quot;M&quot;\ &quot;$&quot;#,##0.#"/>
    <numFmt numFmtId="171" formatCode="&quot;M&quot;&quot;$&quot;* #,##0.#"/>
    <numFmt numFmtId="172" formatCode="\ #,##0\ \U\T\A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Verdana"/>
      <family val="2"/>
    </font>
    <font>
      <b/>
      <sz val="1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5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sz val="11"/>
      <name val="Calibri"/>
      <family val="2"/>
      <scheme val="minor"/>
    </font>
    <font>
      <sz val="11"/>
      <color theme="0" tint="-4.9989318521683403E-2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34998626667073579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68">
    <xf numFmtId="0" fontId="0" fillId="0" borderId="0" xfId="0"/>
    <xf numFmtId="0" fontId="0" fillId="2" borderId="0" xfId="0" applyFill="1"/>
    <xf numFmtId="0" fontId="0" fillId="2" borderId="0" xfId="0" applyFill="1" applyAlignment="1">
      <alignment horizontal="right"/>
    </xf>
    <xf numFmtId="165" fontId="0" fillId="2" borderId="0" xfId="0" applyNumberFormat="1" applyFill="1"/>
    <xf numFmtId="0" fontId="2" fillId="2" borderId="0" xfId="0" applyFont="1" applyFill="1"/>
    <xf numFmtId="165" fontId="0" fillId="2" borderId="2" xfId="0" applyNumberFormat="1" applyFill="1" applyBorder="1"/>
    <xf numFmtId="165" fontId="1" fillId="2" borderId="0" xfId="0" applyNumberFormat="1" applyFont="1" applyFill="1"/>
    <xf numFmtId="0" fontId="0" fillId="2" borderId="7" xfId="0" applyFill="1" applyBorder="1"/>
    <xf numFmtId="3" fontId="0" fillId="2" borderId="8" xfId="0" applyNumberFormat="1" applyFill="1" applyBorder="1"/>
    <xf numFmtId="0" fontId="0" fillId="2" borderId="8" xfId="0" applyFill="1" applyBorder="1" applyAlignment="1">
      <alignment horizontal="right"/>
    </xf>
    <xf numFmtId="0" fontId="0" fillId="2" borderId="8" xfId="0" applyFill="1" applyBorder="1"/>
    <xf numFmtId="3" fontId="0" fillId="2" borderId="9" xfId="0" applyNumberFormat="1" applyFill="1" applyBorder="1"/>
    <xf numFmtId="3" fontId="0" fillId="2" borderId="10" xfId="0" applyNumberFormat="1" applyFill="1" applyBorder="1"/>
    <xf numFmtId="3" fontId="0" fillId="2" borderId="1" xfId="0" applyNumberFormat="1" applyFill="1" applyBorder="1"/>
    <xf numFmtId="166" fontId="0" fillId="2" borderId="1" xfId="0" applyNumberFormat="1" applyFill="1" applyBorder="1"/>
    <xf numFmtId="4" fontId="0" fillId="2" borderId="1" xfId="0" applyNumberFormat="1" applyFill="1" applyBorder="1" applyAlignment="1">
      <alignment wrapText="1"/>
    </xf>
    <xf numFmtId="3" fontId="0" fillId="2" borderId="11" xfId="0" applyNumberFormat="1" applyFill="1" applyBorder="1"/>
    <xf numFmtId="166" fontId="0" fillId="2" borderId="1" xfId="0" applyNumberFormat="1" applyFill="1" applyBorder="1" applyAlignment="1">
      <alignment wrapText="1"/>
    </xf>
    <xf numFmtId="3" fontId="0" fillId="2" borderId="12" xfId="0" applyNumberFormat="1" applyFill="1" applyBorder="1"/>
    <xf numFmtId="166" fontId="0" fillId="2" borderId="13" xfId="0" applyNumberFormat="1" applyFill="1" applyBorder="1"/>
    <xf numFmtId="4" fontId="0" fillId="2" borderId="13" xfId="0" applyNumberFormat="1" applyFill="1" applyBorder="1" applyAlignment="1">
      <alignment wrapText="1"/>
    </xf>
    <xf numFmtId="3" fontId="0" fillId="2" borderId="14" xfId="0" applyNumberFormat="1" applyFill="1" applyBorder="1"/>
    <xf numFmtId="3" fontId="0" fillId="2" borderId="0" xfId="0" applyNumberFormat="1" applyFill="1"/>
    <xf numFmtId="166" fontId="0" fillId="2" borderId="0" xfId="0" applyNumberFormat="1" applyFill="1"/>
    <xf numFmtId="4" fontId="0" fillId="2" borderId="0" xfId="0" applyNumberFormat="1" applyFill="1" applyAlignment="1">
      <alignment wrapText="1"/>
    </xf>
    <xf numFmtId="167" fontId="0" fillId="2" borderId="0" xfId="0" applyNumberFormat="1" applyFill="1"/>
    <xf numFmtId="4" fontId="0" fillId="2" borderId="0" xfId="0" applyNumberFormat="1" applyFill="1" applyAlignment="1">
      <alignment horizontal="right"/>
    </xf>
    <xf numFmtId="3" fontId="1" fillId="2" borderId="0" xfId="0" applyNumberFormat="1" applyFont="1" applyFill="1"/>
    <xf numFmtId="164" fontId="0" fillId="2" borderId="0" xfId="0" applyNumberFormat="1" applyFill="1"/>
    <xf numFmtId="169" fontId="0" fillId="2" borderId="0" xfId="0" applyNumberFormat="1" applyFill="1"/>
    <xf numFmtId="171" fontId="0" fillId="2" borderId="1" xfId="0" applyNumberFormat="1" applyFill="1" applyBorder="1"/>
    <xf numFmtId="168" fontId="0" fillId="2" borderId="1" xfId="0" applyNumberFormat="1" applyFill="1" applyBorder="1"/>
    <xf numFmtId="170" fontId="0" fillId="2" borderId="1" xfId="0" applyNumberFormat="1" applyFill="1" applyBorder="1"/>
    <xf numFmtId="0" fontId="1" fillId="3" borderId="1" xfId="0" applyFont="1" applyFill="1" applyBorder="1"/>
    <xf numFmtId="0" fontId="0" fillId="2" borderId="15" xfId="0" applyFill="1" applyBorder="1" applyAlignment="1">
      <alignment horizontal="right"/>
    </xf>
    <xf numFmtId="9" fontId="0" fillId="2" borderId="0" xfId="0" applyNumberFormat="1" applyFill="1"/>
    <xf numFmtId="3" fontId="0" fillId="2" borderId="0" xfId="0" applyNumberFormat="1" applyFill="1" applyAlignment="1">
      <alignment horizontal="right"/>
    </xf>
    <xf numFmtId="0" fontId="1" fillId="2" borderId="0" xfId="0" applyFont="1" applyFill="1"/>
    <xf numFmtId="4" fontId="0" fillId="2" borderId="0" xfId="0" applyNumberFormat="1" applyFill="1"/>
    <xf numFmtId="3" fontId="0" fillId="4" borderId="1" xfId="0" applyNumberFormat="1" applyFill="1" applyBorder="1"/>
    <xf numFmtId="10" fontId="0" fillId="2" borderId="0" xfId="0" applyNumberFormat="1" applyFill="1"/>
    <xf numFmtId="3" fontId="0" fillId="2" borderId="1" xfId="0" applyNumberForma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4" fillId="6" borderId="6" xfId="0" applyFont="1" applyFill="1" applyBorder="1" applyAlignment="1">
      <alignment horizontal="center" vertical="center" wrapText="1"/>
    </xf>
    <xf numFmtId="3" fontId="6" fillId="2" borderId="0" xfId="0" applyNumberFormat="1" applyFont="1" applyFill="1"/>
    <xf numFmtId="2" fontId="0" fillId="2" borderId="0" xfId="0" applyNumberFormat="1" applyFill="1"/>
    <xf numFmtId="0" fontId="8" fillId="2" borderId="0" xfId="1" applyFill="1"/>
    <xf numFmtId="0" fontId="0" fillId="2" borderId="2" xfId="0" applyFill="1" applyBorder="1"/>
    <xf numFmtId="165" fontId="0" fillId="5" borderId="16" xfId="0" applyNumberFormat="1" applyFill="1" applyBorder="1"/>
    <xf numFmtId="168" fontId="0" fillId="2" borderId="0" xfId="0" applyNumberFormat="1" applyFill="1"/>
    <xf numFmtId="0" fontId="0" fillId="2" borderId="18" xfId="0" applyFill="1" applyBorder="1"/>
    <xf numFmtId="0" fontId="0" fillId="2" borderId="19" xfId="0" applyFill="1" applyBorder="1"/>
    <xf numFmtId="3" fontId="0" fillId="2" borderId="20" xfId="0" applyNumberFormat="1" applyFill="1" applyBorder="1"/>
    <xf numFmtId="0" fontId="0" fillId="2" borderId="17" xfId="0" applyFill="1" applyBorder="1"/>
    <xf numFmtId="0" fontId="0" fillId="2" borderId="21" xfId="0" applyFill="1" applyBorder="1"/>
    <xf numFmtId="0" fontId="9" fillId="2" borderId="0" xfId="0" applyFont="1" applyFill="1"/>
    <xf numFmtId="172" fontId="0" fillId="2" borderId="0" xfId="0" applyNumberFormat="1" applyFill="1" applyAlignment="1">
      <alignment horizontal="left"/>
    </xf>
    <xf numFmtId="0" fontId="0" fillId="2" borderId="0" xfId="0" applyFill="1" applyAlignment="1">
      <alignment horizontal="left"/>
    </xf>
    <xf numFmtId="3" fontId="0" fillId="2" borderId="2" xfId="0" applyNumberFormat="1" applyFill="1" applyBorder="1"/>
    <xf numFmtId="3" fontId="0" fillId="2" borderId="12" xfId="0" applyNumberFormat="1" applyFill="1" applyBorder="1" applyAlignment="1">
      <alignment horizontal="center"/>
    </xf>
    <xf numFmtId="3" fontId="10" fillId="2" borderId="0" xfId="0" applyNumberFormat="1" applyFont="1" applyFill="1" applyAlignment="1">
      <alignment horizontal="left"/>
    </xf>
    <xf numFmtId="0" fontId="11" fillId="2" borderId="0" xfId="0" applyFont="1" applyFill="1" applyAlignment="1">
      <alignment horizontal="right"/>
    </xf>
    <xf numFmtId="0" fontId="12" fillId="2" borderId="0" xfId="0" applyFont="1" applyFill="1"/>
    <xf numFmtId="0" fontId="5" fillId="2" borderId="0" xfId="0" applyFont="1" applyFill="1" applyAlignment="1">
      <alignment horizontal="center"/>
    </xf>
    <xf numFmtId="0" fontId="0" fillId="7" borderId="0" xfId="0" applyFill="1"/>
    <xf numFmtId="0" fontId="3" fillId="6" borderId="3" xfId="0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200027</xdr:colOff>
      <xdr:row>10</xdr:row>
      <xdr:rowOff>150813</xdr:rowOff>
    </xdr:from>
    <xdr:to>
      <xdr:col>7</xdr:col>
      <xdr:colOff>206375</xdr:colOff>
      <xdr:row>25</xdr:row>
      <xdr:rowOff>180975</xdr:rowOff>
    </xdr:to>
    <xdr:cxnSp macro="">
      <xdr:nvCxnSpPr>
        <xdr:cNvPr id="8" name="Conector recto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CxnSpPr/>
      </xdr:nvCxnSpPr>
      <xdr:spPr>
        <a:xfrm flipH="1">
          <a:off x="5264152" y="2055813"/>
          <a:ext cx="6348" cy="3602037"/>
        </a:xfrm>
        <a:prstGeom prst="line">
          <a:avLst/>
        </a:prstGeom>
        <a:ln w="254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114300</xdr:colOff>
      <xdr:row>11</xdr:row>
      <xdr:rowOff>28575</xdr:rowOff>
    </xdr:from>
    <xdr:to>
      <xdr:col>11</xdr:col>
      <xdr:colOff>114300</xdr:colOff>
      <xdr:row>22</xdr:row>
      <xdr:rowOff>127275</xdr:rowOff>
    </xdr:to>
    <xdr:cxnSp macro="">
      <xdr:nvCxnSpPr>
        <xdr:cNvPr id="14" name="Conector recto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CxnSpPr/>
      </xdr:nvCxnSpPr>
      <xdr:spPr>
        <a:xfrm>
          <a:off x="7600950" y="2124075"/>
          <a:ext cx="0" cy="2880000"/>
        </a:xfrm>
        <a:prstGeom prst="line">
          <a:avLst/>
        </a:prstGeom>
        <a:ln w="15875">
          <a:solidFill>
            <a:schemeClr val="bg2"/>
          </a:solidFill>
          <a:prstDash val="sys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161925</xdr:colOff>
      <xdr:row>11</xdr:row>
      <xdr:rowOff>47625</xdr:rowOff>
    </xdr:from>
    <xdr:to>
      <xdr:col>13</xdr:col>
      <xdr:colOff>161925</xdr:colOff>
      <xdr:row>22</xdr:row>
      <xdr:rowOff>146325</xdr:rowOff>
    </xdr:to>
    <xdr:cxnSp macro="">
      <xdr:nvCxnSpPr>
        <xdr:cNvPr id="15" name="Conector recto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CxnSpPr/>
      </xdr:nvCxnSpPr>
      <xdr:spPr>
        <a:xfrm>
          <a:off x="9077325" y="2143125"/>
          <a:ext cx="0" cy="2880000"/>
        </a:xfrm>
        <a:prstGeom prst="line">
          <a:avLst/>
        </a:prstGeom>
        <a:ln w="15875">
          <a:solidFill>
            <a:schemeClr val="bg2"/>
          </a:solidFill>
          <a:prstDash val="sys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54430</xdr:colOff>
      <xdr:row>5</xdr:row>
      <xdr:rowOff>142874</xdr:rowOff>
    </xdr:from>
    <xdr:to>
      <xdr:col>14</xdr:col>
      <xdr:colOff>197303</xdr:colOff>
      <xdr:row>8</xdr:row>
      <xdr:rowOff>88445</xdr:rowOff>
    </xdr:to>
    <xdr:sp macro="" textlink="">
      <xdr:nvSpPr>
        <xdr:cNvPr id="2" name="Abrir llav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9783537" y="1245053"/>
          <a:ext cx="898070" cy="544285"/>
        </a:xfrm>
        <a:prstGeom prst="leftBrace">
          <a:avLst>
            <a:gd name="adj1" fmla="val 0"/>
            <a:gd name="adj2" fmla="val 64642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CL" sz="1100"/>
        </a:p>
      </xdr:txBody>
    </xdr:sp>
    <xdr:clientData/>
  </xdr:twoCellAnchor>
  <xdr:twoCellAnchor editAs="oneCell">
    <xdr:from>
      <xdr:col>0</xdr:col>
      <xdr:colOff>169411</xdr:colOff>
      <xdr:row>33</xdr:row>
      <xdr:rowOff>115661</xdr:rowOff>
    </xdr:from>
    <xdr:to>
      <xdr:col>8</xdr:col>
      <xdr:colOff>73113</xdr:colOff>
      <xdr:row>66</xdr:row>
      <xdr:rowOff>161851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9411" y="6701518"/>
          <a:ext cx="6034090" cy="6332690"/>
        </a:xfrm>
        <a:prstGeom prst="rect">
          <a:avLst/>
        </a:prstGeom>
      </xdr:spPr>
    </xdr:pic>
    <xdr:clientData/>
  </xdr:twoCellAnchor>
  <xdr:twoCellAnchor editAs="oneCell">
    <xdr:from>
      <xdr:col>2</xdr:col>
      <xdr:colOff>920</xdr:colOff>
      <xdr:row>17</xdr:row>
      <xdr:rowOff>4324</xdr:rowOff>
    </xdr:from>
    <xdr:to>
      <xdr:col>2</xdr:col>
      <xdr:colOff>980016</xdr:colOff>
      <xdr:row>25</xdr:row>
      <xdr:rowOff>114082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50BDC1B-8C65-E030-77FC-CF0925D8A5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76766" y="3433324"/>
          <a:ext cx="979096" cy="16484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s://www.sii.cl/valores_y_fechas/utm/utm2022.h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7FA7DC-CDCE-493A-8858-F4693292E76C}">
  <dimension ref="C12:O25"/>
  <sheetViews>
    <sheetView zoomScale="120" zoomScaleNormal="120" workbookViewId="0">
      <selection activeCell="K28" sqref="K28"/>
    </sheetView>
  </sheetViews>
  <sheetFormatPr baseColWidth="10" defaultRowHeight="15" x14ac:dyDescent="0.25"/>
  <cols>
    <col min="1" max="2" width="11.42578125" style="1"/>
    <col min="3" max="3" width="12.140625" style="1" bestFit="1" customWidth="1"/>
    <col min="4" max="4" width="10.5703125" style="1" customWidth="1"/>
    <col min="5" max="5" width="10" style="1" customWidth="1"/>
    <col min="6" max="6" width="9.85546875" style="1" customWidth="1"/>
    <col min="7" max="7" width="10.42578125" style="1" bestFit="1" customWidth="1"/>
    <col min="8" max="8" width="5.5703125" style="1" customWidth="1"/>
    <col min="9" max="9" width="11.42578125" style="1" bestFit="1" customWidth="1"/>
    <col min="10" max="10" width="1.7109375" style="1" customWidth="1"/>
    <col min="11" max="11" width="17.7109375" style="1" bestFit="1" customWidth="1"/>
    <col min="12" max="12" width="2.85546875" style="1" customWidth="1"/>
    <col min="13" max="13" width="18.5703125" style="1" bestFit="1" customWidth="1"/>
    <col min="14" max="14" width="3.7109375" style="1" customWidth="1"/>
    <col min="15" max="15" width="17.7109375" style="1" bestFit="1" customWidth="1"/>
    <col min="16" max="16384" width="11.42578125" style="1"/>
  </cols>
  <sheetData>
    <row r="12" spans="3:15" x14ac:dyDescent="0.25">
      <c r="K12" s="1" t="s">
        <v>20</v>
      </c>
      <c r="M12" s="1" t="s">
        <v>19</v>
      </c>
    </row>
    <row r="13" spans="3:15" ht="21" customHeight="1" x14ac:dyDescent="0.25">
      <c r="D13" s="33" t="s">
        <v>2</v>
      </c>
      <c r="E13" s="33" t="s">
        <v>4</v>
      </c>
      <c r="F13" s="33" t="s">
        <v>5</v>
      </c>
      <c r="G13" s="33" t="s">
        <v>6</v>
      </c>
      <c r="K13" s="37" t="s">
        <v>25</v>
      </c>
      <c r="L13" s="37"/>
      <c r="M13" s="37" t="s">
        <v>12</v>
      </c>
      <c r="N13" s="37"/>
      <c r="O13" s="37" t="s">
        <v>11</v>
      </c>
    </row>
    <row r="14" spans="3:15" ht="21" customHeight="1" x14ac:dyDescent="0.25">
      <c r="C14" s="28"/>
      <c r="D14" s="30">
        <v>0</v>
      </c>
      <c r="E14" s="31">
        <v>0</v>
      </c>
      <c r="F14" s="30">
        <v>0</v>
      </c>
      <c r="G14" s="32"/>
      <c r="L14" s="29"/>
    </row>
    <row r="15" spans="3:15" ht="21" customHeight="1" x14ac:dyDescent="0.25">
      <c r="C15" s="28"/>
      <c r="D15" s="30">
        <v>8.2666989999999991</v>
      </c>
      <c r="E15" s="31">
        <v>0.04</v>
      </c>
      <c r="F15" s="30">
        <v>0.33066792000000006</v>
      </c>
      <c r="G15" s="32"/>
      <c r="I15" s="2" t="s">
        <v>13</v>
      </c>
      <c r="J15" s="2"/>
      <c r="K15" s="2" t="s">
        <v>15</v>
      </c>
      <c r="L15" s="29"/>
      <c r="M15" s="2" t="s">
        <v>15</v>
      </c>
      <c r="O15" s="2" t="s">
        <v>15</v>
      </c>
    </row>
    <row r="16" spans="3:15" ht="21" customHeight="1" thickBot="1" x14ac:dyDescent="0.3">
      <c r="C16" s="28"/>
      <c r="D16" s="30">
        <v>18.370441</v>
      </c>
      <c r="E16" s="31">
        <v>0.08</v>
      </c>
      <c r="F16" s="30">
        <v>1.06548552</v>
      </c>
      <c r="G16" s="32"/>
      <c r="I16" s="2" t="s">
        <v>14</v>
      </c>
      <c r="J16" s="2"/>
      <c r="K16" s="34" t="s">
        <v>16</v>
      </c>
      <c r="L16" s="29"/>
      <c r="M16" s="34" t="s">
        <v>16</v>
      </c>
      <c r="O16" s="34" t="s">
        <v>16</v>
      </c>
    </row>
    <row r="17" spans="3:15" ht="21" customHeight="1" thickTop="1" x14ac:dyDescent="0.25">
      <c r="C17" s="28"/>
      <c r="D17" s="30">
        <v>30.617401000000001</v>
      </c>
      <c r="E17" s="31">
        <v>0.13500000000000001</v>
      </c>
      <c r="F17" s="30">
        <v>2.7494425200000001</v>
      </c>
      <c r="G17" s="32"/>
      <c r="I17" s="2" t="s">
        <v>18</v>
      </c>
      <c r="K17" s="36">
        <v>100000000</v>
      </c>
      <c r="L17" s="29"/>
      <c r="M17" s="36">
        <v>100000000</v>
      </c>
      <c r="O17" s="36">
        <v>100000000</v>
      </c>
    </row>
    <row r="18" spans="3:15" ht="21" customHeight="1" x14ac:dyDescent="0.25">
      <c r="C18" s="28"/>
      <c r="D18" s="30">
        <v>42.864361000000002</v>
      </c>
      <c r="E18" s="31">
        <v>0.23</v>
      </c>
      <c r="F18" s="30">
        <v>6.8215567200000002</v>
      </c>
      <c r="G18" s="32"/>
      <c r="L18" s="29"/>
    </row>
    <row r="19" spans="3:15" ht="21" customHeight="1" x14ac:dyDescent="0.25">
      <c r="C19" s="28"/>
      <c r="D19" s="30">
        <v>55.111320999999997</v>
      </c>
      <c r="E19" s="31">
        <v>0.30399999999999999</v>
      </c>
      <c r="F19" s="30">
        <v>10.899794400000001</v>
      </c>
      <c r="G19" s="32"/>
      <c r="L19" s="29"/>
    </row>
    <row r="20" spans="3:15" ht="21" customHeight="1" x14ac:dyDescent="0.25">
      <c r="C20" s="28"/>
      <c r="D20" s="30">
        <v>73.481761000000006</v>
      </c>
      <c r="E20" s="31">
        <v>0.35</v>
      </c>
      <c r="F20" s="30">
        <v>14.279955359999999</v>
      </c>
      <c r="G20" s="32"/>
      <c r="I20" s="2" t="s">
        <v>21</v>
      </c>
      <c r="K20" s="35">
        <v>0</v>
      </c>
      <c r="L20" s="29"/>
      <c r="M20" s="35">
        <v>0.25</v>
      </c>
      <c r="O20" s="35">
        <v>0.27</v>
      </c>
    </row>
    <row r="21" spans="3:15" ht="21" customHeight="1" x14ac:dyDescent="0.25">
      <c r="C21" s="28"/>
      <c r="D21" s="30">
        <v>189.82788099999999</v>
      </c>
      <c r="E21" s="31">
        <v>0.4</v>
      </c>
      <c r="F21" s="30">
        <v>23.771349359999999</v>
      </c>
      <c r="G21" s="32"/>
      <c r="I21" s="2" t="s">
        <v>24</v>
      </c>
      <c r="K21" s="1">
        <f>+K17*K20</f>
        <v>0</v>
      </c>
      <c r="L21" s="29"/>
      <c r="M21" s="22">
        <f>+M17*M20</f>
        <v>25000000</v>
      </c>
      <c r="N21" s="22"/>
      <c r="O21" s="22">
        <f>+O17*O20</f>
        <v>27000000</v>
      </c>
    </row>
    <row r="22" spans="3:15" x14ac:dyDescent="0.25">
      <c r="O22" s="22">
        <f>O21*0.65</f>
        <v>17550000</v>
      </c>
    </row>
    <row r="23" spans="3:15" x14ac:dyDescent="0.25">
      <c r="F23" s="2" t="s">
        <v>6</v>
      </c>
      <c r="G23" s="2" t="s">
        <v>16</v>
      </c>
    </row>
    <row r="24" spans="3:15" x14ac:dyDescent="0.25">
      <c r="F24" s="2" t="s">
        <v>22</v>
      </c>
      <c r="G24" s="2" t="s">
        <v>17</v>
      </c>
    </row>
    <row r="25" spans="3:15" x14ac:dyDescent="0.25">
      <c r="F25" s="2" t="s">
        <v>23</v>
      </c>
      <c r="G25" s="2" t="s">
        <v>26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3D824-5C4E-4487-A3F5-B0BF36EF84F8}">
  <dimension ref="B1:R32"/>
  <sheetViews>
    <sheetView tabSelected="1" zoomScale="130" zoomScaleNormal="130" workbookViewId="0">
      <selection activeCell="G13" sqref="G13"/>
    </sheetView>
  </sheetViews>
  <sheetFormatPr baseColWidth="10" defaultRowHeight="15" x14ac:dyDescent="0.25"/>
  <cols>
    <col min="1" max="2" width="1.28515625" style="1" customWidth="1"/>
    <col min="3" max="3" width="20.140625" style="1" customWidth="1"/>
    <col min="4" max="4" width="16" style="1" customWidth="1"/>
    <col min="5" max="5" width="10.140625" style="1" customWidth="1"/>
    <col min="6" max="6" width="13.85546875" style="1" customWidth="1"/>
    <col min="7" max="7" width="17.42578125" style="1" customWidth="1"/>
    <col min="8" max="8" width="10.5703125" style="1" customWidth="1"/>
    <col min="9" max="9" width="1.42578125" style="64" customWidth="1"/>
    <col min="10" max="10" width="1.5703125" style="1" customWidth="1"/>
    <col min="11" max="11" width="21" style="1" customWidth="1"/>
    <col min="12" max="12" width="8.7109375" style="1" customWidth="1"/>
    <col min="13" max="14" width="13.5703125" style="1" customWidth="1"/>
    <col min="15" max="15" width="14.28515625" style="1" customWidth="1"/>
    <col min="16" max="17" width="11.42578125" style="1"/>
    <col min="18" max="18" width="12.42578125" style="1" customWidth="1"/>
    <col min="19" max="16384" width="11.42578125" style="1"/>
  </cols>
  <sheetData>
    <row r="1" spans="2:18" x14ac:dyDescent="0.25">
      <c r="L1" s="1" t="s">
        <v>44</v>
      </c>
      <c r="M1" s="38">
        <v>38800</v>
      </c>
    </row>
    <row r="2" spans="2:18" ht="26.25" x14ac:dyDescent="0.4">
      <c r="C2" s="44" t="s">
        <v>37</v>
      </c>
    </row>
    <row r="3" spans="2:18" x14ac:dyDescent="0.25">
      <c r="C3" s="1" t="s">
        <v>52</v>
      </c>
      <c r="D3" s="39">
        <v>67294</v>
      </c>
      <c r="F3" s="2" t="s">
        <v>9</v>
      </c>
      <c r="G3" s="3">
        <f>M15</f>
        <v>288800000</v>
      </c>
      <c r="H3" s="56">
        <f>G3/M17</f>
        <v>357.63465786944852</v>
      </c>
      <c r="K3" s="1" t="s">
        <v>27</v>
      </c>
      <c r="M3" s="39">
        <v>0</v>
      </c>
      <c r="N3" s="1" t="s">
        <v>39</v>
      </c>
    </row>
    <row r="4" spans="2:18" x14ac:dyDescent="0.25">
      <c r="C4" s="4" t="s">
        <v>0</v>
      </c>
      <c r="D4" s="28"/>
      <c r="F4" s="2"/>
      <c r="G4" s="5">
        <f>IF(G3&gt;M17*150,0,IF(P8&gt;M17*8,M17*8*N17,P8))*-1</f>
        <v>0</v>
      </c>
      <c r="H4" s="57" t="s">
        <v>38</v>
      </c>
      <c r="K4" s="1" t="s">
        <v>30</v>
      </c>
      <c r="M4" s="39">
        <v>70000000</v>
      </c>
    </row>
    <row r="5" spans="2:18" ht="15.75" thickBot="1" x14ac:dyDescent="0.3">
      <c r="F5" s="2" t="s">
        <v>10</v>
      </c>
      <c r="G5" s="6">
        <f>SUM(G3:G4)</f>
        <v>288800000</v>
      </c>
      <c r="H5" s="3"/>
      <c r="K5" s="1" t="s">
        <v>28</v>
      </c>
      <c r="M5" s="39">
        <v>350000</v>
      </c>
    </row>
    <row r="6" spans="2:18" ht="16.5" thickBot="1" x14ac:dyDescent="0.3">
      <c r="C6" s="65" t="s">
        <v>1</v>
      </c>
      <c r="D6" s="66"/>
      <c r="E6" s="66"/>
      <c r="F6" s="66"/>
      <c r="G6" s="67"/>
      <c r="H6" s="3"/>
      <c r="K6" s="1" t="s">
        <v>34</v>
      </c>
      <c r="M6" s="39">
        <v>250000</v>
      </c>
    </row>
    <row r="7" spans="2:18" ht="15.75" thickBot="1" x14ac:dyDescent="0.3">
      <c r="C7" s="43" t="s">
        <v>2</v>
      </c>
      <c r="D7" s="43" t="s">
        <v>3</v>
      </c>
      <c r="E7" s="43" t="s">
        <v>4</v>
      </c>
      <c r="F7" s="43" t="s">
        <v>5</v>
      </c>
      <c r="G7" s="43" t="s">
        <v>6</v>
      </c>
      <c r="H7" s="3"/>
      <c r="K7" s="1" t="str">
        <f>"ARRIENDOS ANUALES DE "&amp;IF(N3=" + 1 DFL2",M3+1,IF(N3=" + 2 DFL2",M3+2,M3)) &amp;" PROP"</f>
        <v>ARRIENDOS ANUALES DE 2 PROP</v>
      </c>
      <c r="M7" s="22">
        <f>M5*12*IF(N3=" + 1 DFL2",M3+1,IF(N3=" + 2 DFL2",M3+2,M3))</f>
        <v>8400000</v>
      </c>
      <c r="O7" s="42" t="s">
        <v>33</v>
      </c>
      <c r="P7" s="42" t="s">
        <v>29</v>
      </c>
      <c r="Q7" s="42" t="s">
        <v>35</v>
      </c>
    </row>
    <row r="8" spans="2:18" x14ac:dyDescent="0.25">
      <c r="B8" s="1">
        <v>1</v>
      </c>
      <c r="C8" s="7">
        <v>0</v>
      </c>
      <c r="D8" s="8">
        <f>162*D3</f>
        <v>10901628</v>
      </c>
      <c r="E8" s="9" t="s">
        <v>7</v>
      </c>
      <c r="F8" s="10"/>
      <c r="G8" s="11">
        <f>IF(G5&lt;=D8,0,0)</f>
        <v>0</v>
      </c>
      <c r="H8" s="22"/>
      <c r="K8" s="1" t="str">
        <f>"DIVIDENDOS ANUALES DE "&amp;IF(N3=" + 1 DFL2",M3+1,IF(N3=" + 2 DFL2",M3+2,M3)) &amp;" PROP"</f>
        <v>DIVIDENDOS ANUALES DE 2 PROP</v>
      </c>
      <c r="M8" s="22">
        <f>M6*12*IF(N3=" + 1 DFL2",M3+1,IF(N3=" + 2 DFL2",M3+2,M3))</f>
        <v>6000000</v>
      </c>
      <c r="O8" s="41">
        <f>M8*51%</f>
        <v>3060000</v>
      </c>
      <c r="P8" s="41">
        <f>M8*43%</f>
        <v>2580000</v>
      </c>
      <c r="Q8" s="41">
        <f>M8*6%</f>
        <v>360000</v>
      </c>
      <c r="R8" s="22">
        <f>SUM(O8:Q8)</f>
        <v>6000000</v>
      </c>
    </row>
    <row r="9" spans="2:18" x14ac:dyDescent="0.25">
      <c r="B9" s="1">
        <v>2</v>
      </c>
      <c r="C9" s="12">
        <f t="shared" ref="C9:C14" si="0">+D8+1</f>
        <v>10901629</v>
      </c>
      <c r="D9" s="13">
        <f>360*D3</f>
        <v>24225840</v>
      </c>
      <c r="E9" s="14">
        <v>0.04</v>
      </c>
      <c r="F9" s="15">
        <f>6.48*D3</f>
        <v>436065.12000000005</v>
      </c>
      <c r="G9" s="16">
        <f t="shared" ref="G9:G14" si="1">IF(AND($G$5&gt;=C9,$G$5&lt;=D9),($G$5*E9)-F9,0)</f>
        <v>0</v>
      </c>
      <c r="K9" s="1" t="str">
        <f>"CONTRIBUCIONES "&amp;M3&amp;" PROP"</f>
        <v>CONTRIBUCIONES 0 PROP</v>
      </c>
      <c r="M9" s="22">
        <f>N9*M3</f>
        <v>0</v>
      </c>
      <c r="N9" s="60">
        <v>70000</v>
      </c>
    </row>
    <row r="10" spans="2:18" x14ac:dyDescent="0.25">
      <c r="B10" s="1">
        <v>3</v>
      </c>
      <c r="C10" s="12">
        <f t="shared" si="0"/>
        <v>24225841</v>
      </c>
      <c r="D10" s="13">
        <f>600*D3</f>
        <v>40376400</v>
      </c>
      <c r="E10" s="17">
        <v>0.08</v>
      </c>
      <c r="F10" s="15">
        <f>20.88*D3</f>
        <v>1405098.72</v>
      </c>
      <c r="G10" s="16">
        <f t="shared" si="1"/>
        <v>0</v>
      </c>
      <c r="K10" s="50" t="str">
        <f>"ARRIENDOS AFECTOS "&amp;M3&amp;" PROP"</f>
        <v>ARRIENDOS AFECTOS 0 PROP</v>
      </c>
      <c r="L10" s="51"/>
      <c r="M10" s="52">
        <f>M3*M5*12</f>
        <v>0</v>
      </c>
    </row>
    <row r="11" spans="2:18" x14ac:dyDescent="0.25">
      <c r="B11" s="1">
        <v>4</v>
      </c>
      <c r="C11" s="12">
        <f t="shared" si="0"/>
        <v>40376401</v>
      </c>
      <c r="D11" s="13">
        <f>840*D3</f>
        <v>56526960</v>
      </c>
      <c r="E11" s="14">
        <v>0.13500000000000001</v>
      </c>
      <c r="F11" s="15">
        <f>53.88*D3</f>
        <v>3625800.72</v>
      </c>
      <c r="G11" s="16">
        <f t="shared" si="1"/>
        <v>0</v>
      </c>
      <c r="K11" s="53" t="s">
        <v>47</v>
      </c>
      <c r="M11" s="39">
        <f>M25</f>
        <v>38800000</v>
      </c>
      <c r="N11" s="1" t="s">
        <v>48</v>
      </c>
    </row>
    <row r="12" spans="2:18" x14ac:dyDescent="0.25">
      <c r="B12" s="1">
        <v>5</v>
      </c>
      <c r="C12" s="12">
        <f t="shared" si="0"/>
        <v>56526961</v>
      </c>
      <c r="D12" s="13">
        <f>1080*D3</f>
        <v>72677520</v>
      </c>
      <c r="E12" s="14">
        <v>0.23</v>
      </c>
      <c r="F12" s="15">
        <f>133.68*D3</f>
        <v>8995861.9199999999</v>
      </c>
      <c r="G12" s="16">
        <f t="shared" si="1"/>
        <v>0</v>
      </c>
      <c r="K12" s="53" t="s">
        <v>31</v>
      </c>
      <c r="M12" s="39">
        <v>70000000</v>
      </c>
      <c r="P12" s="55"/>
    </row>
    <row r="13" spans="2:18" x14ac:dyDescent="0.25">
      <c r="B13" s="1">
        <v>6</v>
      </c>
      <c r="C13" s="12">
        <f t="shared" si="0"/>
        <v>72677521</v>
      </c>
      <c r="D13" s="13">
        <f>1440*D3</f>
        <v>96903360</v>
      </c>
      <c r="E13" s="14">
        <v>0.30399999999999999</v>
      </c>
      <c r="F13" s="15">
        <f>213.6*D3</f>
        <v>14373998.4</v>
      </c>
      <c r="G13" s="16">
        <f t="shared" si="1"/>
        <v>0</v>
      </c>
      <c r="K13" s="53" t="s">
        <v>46</v>
      </c>
      <c r="M13" s="39">
        <v>150000000</v>
      </c>
      <c r="N13" s="49">
        <v>0.27</v>
      </c>
      <c r="O13" s="22">
        <f>M13*N13</f>
        <v>40500000</v>
      </c>
      <c r="P13" s="49">
        <v>0.65</v>
      </c>
      <c r="Q13" s="58">
        <f>O13*P13</f>
        <v>26325000</v>
      </c>
    </row>
    <row r="14" spans="2:18" x14ac:dyDescent="0.25">
      <c r="B14" s="1">
        <v>7</v>
      </c>
      <c r="C14" s="12">
        <f t="shared" si="0"/>
        <v>96903361</v>
      </c>
      <c r="D14" s="13">
        <f>3720*D3</f>
        <v>250333680</v>
      </c>
      <c r="E14" s="14">
        <v>0.35</v>
      </c>
      <c r="F14" s="15">
        <f>279.84*D3</f>
        <v>18831552.959999997</v>
      </c>
      <c r="G14" s="16">
        <f t="shared" si="1"/>
        <v>0</v>
      </c>
      <c r="K14" s="54" t="s">
        <v>32</v>
      </c>
      <c r="L14" s="47"/>
      <c r="M14" s="39">
        <v>30000000</v>
      </c>
      <c r="N14" s="40">
        <v>0.14499999999999999</v>
      </c>
      <c r="O14" s="58">
        <f>M14*N14</f>
        <v>4350000</v>
      </c>
      <c r="P14" s="1" t="s">
        <v>41</v>
      </c>
    </row>
    <row r="15" spans="2:18" ht="15.75" thickBot="1" x14ac:dyDescent="0.3">
      <c r="B15" s="1">
        <v>8</v>
      </c>
      <c r="C15" s="18">
        <f>+D14+1</f>
        <v>250333681</v>
      </c>
      <c r="D15" s="59" t="s">
        <v>49</v>
      </c>
      <c r="E15" s="19">
        <v>0.4</v>
      </c>
      <c r="F15" s="20">
        <f>465.84*D3</f>
        <v>31348236.959999997</v>
      </c>
      <c r="G15" s="21">
        <f>IF($G$5&gt;=C15,($G$5*E15)-F15,0)</f>
        <v>84171763.040000007</v>
      </c>
      <c r="L15" s="2" t="s">
        <v>9</v>
      </c>
      <c r="M15" s="27">
        <f>SUM(M10:M14)</f>
        <v>288800000</v>
      </c>
      <c r="N15" s="40"/>
    </row>
    <row r="16" spans="2:18" x14ac:dyDescent="0.25">
      <c r="C16" s="22"/>
      <c r="D16" s="2"/>
      <c r="E16" s="23"/>
      <c r="F16" s="24"/>
      <c r="G16" s="22"/>
    </row>
    <row r="17" spans="3:16" x14ac:dyDescent="0.25">
      <c r="D17" s="25"/>
      <c r="F17" s="26" t="s">
        <v>8</v>
      </c>
      <c r="G17" s="27">
        <f>SUM(G8:G15)</f>
        <v>84171763.040000007</v>
      </c>
      <c r="K17" s="1" t="s">
        <v>58</v>
      </c>
      <c r="L17" s="46" t="s">
        <v>40</v>
      </c>
      <c r="M17" s="39">
        <v>807528</v>
      </c>
      <c r="N17" s="45">
        <f>IF(AND(H3&gt;90,H3&lt;=150),250-(1.667*H3),100)/100</f>
        <v>1</v>
      </c>
    </row>
    <row r="18" spans="3:16" x14ac:dyDescent="0.25">
      <c r="F18" s="26" t="s">
        <v>45</v>
      </c>
      <c r="G18" s="27">
        <f>IF(M9&gt;G17,G17,M9)*-1</f>
        <v>0</v>
      </c>
      <c r="H18" s="3"/>
    </row>
    <row r="19" spans="3:16" x14ac:dyDescent="0.25">
      <c r="F19" s="2" t="s">
        <v>42</v>
      </c>
      <c r="G19" s="22">
        <f>O14*-1</f>
        <v>-4350000</v>
      </c>
      <c r="H19" s="3"/>
      <c r="L19" s="55"/>
    </row>
    <row r="20" spans="3:16" x14ac:dyDescent="0.25">
      <c r="F20" s="1" t="s">
        <v>43</v>
      </c>
      <c r="G20" s="22">
        <f>Q13*-1</f>
        <v>-26325000</v>
      </c>
      <c r="L20" s="55"/>
    </row>
    <row r="21" spans="3:16" ht="15.75" thickBot="1" x14ac:dyDescent="0.3">
      <c r="L21" s="61" t="s">
        <v>56</v>
      </c>
      <c r="M21" s="22">
        <v>1500</v>
      </c>
      <c r="N21" s="1" t="s">
        <v>55</v>
      </c>
    </row>
    <row r="22" spans="3:16" ht="15.75" thickBot="1" x14ac:dyDescent="0.3">
      <c r="C22" s="1" t="s">
        <v>36</v>
      </c>
      <c r="F22" s="2" t="str">
        <f>IF(G22&lt;=0,"Devolución","Pago")</f>
        <v>Pago</v>
      </c>
      <c r="G22" s="48">
        <f>SUM(G17:G20)</f>
        <v>53496763.040000007</v>
      </c>
      <c r="L22" s="61" t="s">
        <v>56</v>
      </c>
      <c r="M22" s="58">
        <v>2500</v>
      </c>
      <c r="N22" s="1" t="s">
        <v>53</v>
      </c>
    </row>
    <row r="23" spans="3:16" x14ac:dyDescent="0.25">
      <c r="L23" s="61" t="s">
        <v>56</v>
      </c>
      <c r="M23" s="22">
        <f>M22-M21</f>
        <v>1000</v>
      </c>
      <c r="N23" s="3" t="s">
        <v>54</v>
      </c>
      <c r="O23" s="3"/>
    </row>
    <row r="24" spans="3:16" x14ac:dyDescent="0.25">
      <c r="C24" s="62" t="s">
        <v>51</v>
      </c>
    </row>
    <row r="25" spans="3:16" x14ac:dyDescent="0.25">
      <c r="C25" s="62" t="s">
        <v>50</v>
      </c>
      <c r="L25" s="61"/>
      <c r="M25" s="22">
        <f>M23*M1</f>
        <v>38800000</v>
      </c>
      <c r="N25" s="1" t="s">
        <v>57</v>
      </c>
      <c r="O25" s="22">
        <f>8000*M1</f>
        <v>310400000</v>
      </c>
      <c r="P25" s="1" t="s">
        <v>57</v>
      </c>
    </row>
    <row r="26" spans="3:16" x14ac:dyDescent="0.25">
      <c r="C26" s="62" t="s">
        <v>39</v>
      </c>
      <c r="M26" s="22"/>
    </row>
    <row r="27" spans="3:16" x14ac:dyDescent="0.25">
      <c r="C27" s="62"/>
      <c r="M27" s="22"/>
    </row>
    <row r="28" spans="3:16" x14ac:dyDescent="0.25">
      <c r="M28" s="22"/>
    </row>
    <row r="29" spans="3:16" x14ac:dyDescent="0.25">
      <c r="M29" s="22"/>
    </row>
    <row r="30" spans="3:16" ht="23.25" x14ac:dyDescent="0.35">
      <c r="N30" s="63"/>
    </row>
    <row r="32" spans="3:16" x14ac:dyDescent="0.25">
      <c r="M32"/>
    </row>
  </sheetData>
  <mergeCells count="1">
    <mergeCell ref="C6:G6"/>
  </mergeCells>
  <phoneticPr fontId="7" type="noConversion"/>
  <dataValidations count="1">
    <dataValidation type="list" allowBlank="1" showInputMessage="1" showErrorMessage="1" sqref="N3" xr:uid="{0BA6F206-7CEB-46C6-B6E3-2610433A940E}">
      <formula1>$C$24:$C$26</formula1>
    </dataValidation>
  </dataValidations>
  <hyperlinks>
    <hyperlink ref="L17" r:id="rId1" xr:uid="{5F663E20-97C6-4441-9D36-4630D9E237FD}"/>
  </hyperlinks>
  <pageMargins left="0.7" right="0.7" top="0.75" bottom="0.75" header="0.3" footer="0.3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M D A A B Q S w M E F A A C A A g A O x F C W Y D 5 9 v u j A A A A 9 Q A A A B I A H A B D b 2 5 m a W c v U G F j a 2 F n Z S 5 4 b W w g o h g A K K A U A A A A A A A A A A A A A A A A A A A A A A A A A A A A h Y 8 x D o I w G I W v Q r r T l h K j I T 9 l Y I X E x M S 4 N q V C I x R D i + V u D h 7 J K 4 h R 1 M 3 x f e 8 b 3 r t f b 5 B N X R t c 1 G B 1 b 1 I U Y Y o C Z W R f a V O n a H T H c I M y D l s h T 6 J W w S w b m 0 y 2 S l H j 3 D k h x H u P f Y z 7 o S a M 0 o g c y m I n G 9 U J 9 J H 1 f z n U x j p h p E I c 9 q 8 x n O E o j v F q j S m Q h U G p z b d n 8 9 x n + w M h H 1 s 3 D o o r G + Y F k C U C e V / g D 1 B L A w Q U A A I A C A A 7 E U J Z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O x F C W S i K R 7 g O A A A A E Q A A A B M A H A B G b 3 J t d W x h c y 9 T Z W N 0 a W 9 u M S 5 t I K I Y A C i g F A A A A A A A A A A A A A A A A A A A A A A A A A A A A C t O T S 7 J z M 9 T C I b Q h t Y A U E s B A i 0 A F A A C A A g A O x F C W Y D 5 9 v u j A A A A 9 Q A A A B I A A A A A A A A A A A A A A A A A A A A A A E N v b m Z p Z y 9 Q Y W N r Y W d l L n h t b F B L A Q I t A B Q A A g A I A D s R Q l k P y u m r p A A A A O k A A A A T A A A A A A A A A A A A A A A A A O 8 A A A B b Q 2 9 u d G V u d F 9 U e X B l c 1 0 u e G 1 s U E s B A i 0 A F A A C A A g A O x F C W S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L I 5 V E X k t 9 x E i z 7 p q 4 f b / 1 U A A A A A A g A A A A A A E G Y A A A A B A A A g A A A A 0 D d P l i Z Y O x f p k D 3 a g 7 + h 7 1 f t p A b A I e a i + B Y I k X c L J u o A A A A A D o A A A A A C A A A g A A A A 2 F d 6 y H t y E Q o V N / 2 7 h 2 4 l Q k u D k a M 1 x n e V a 1 l q P k K q p Q l Q A A A A E P a K r 5 T 4 r / G o 7 W A B T v O G T a 9 I + K y 5 G + u L x 9 p z U E O x z S y M p I e 8 V d Q o P C h B H 3 U 3 K i P 4 i N V U 1 C W T r b h a n b D N K x 3 A F r 5 f h g / y A y T P a i w F h G B V y q R A A A A A S + r K c q p X + / f / E c r E 9 l d R S x x n U Y 0 0 k O q I 5 i H + d u A g 1 Y a f 2 z l s 7 T 1 I s E c Z R h V 7 9 I H m D Z / a o b j V U + g x Q N M O + B s i Q A = = < / D a t a M a s h u p > 
</file>

<file path=customXml/itemProps1.xml><?xml version="1.0" encoding="utf-8"?>
<ds:datastoreItem xmlns:ds="http://schemas.openxmlformats.org/officeDocument/2006/customXml" ds:itemID="{6C1374E7-B616-473F-B159-7459DF3815B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global grafico</vt:lpstr>
      <vt:lpstr>Global</vt:lpstr>
      <vt:lpstr>_1_DFL2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brown soto</dc:creator>
  <cp:lastModifiedBy>daniel brown soto</cp:lastModifiedBy>
  <dcterms:created xsi:type="dcterms:W3CDTF">2021-02-08T02:06:29Z</dcterms:created>
  <dcterms:modified xsi:type="dcterms:W3CDTF">2025-03-13T16:04:52Z</dcterms:modified>
</cp:coreProperties>
</file>