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anie\OneDrive\Desktop\"/>
    </mc:Choice>
  </mc:AlternateContent>
  <xr:revisionPtr revIDLastSave="0" documentId="13_ncr:1_{6FC4FFD3-AF70-4196-9BC6-B797C080D5CF}" xr6:coauthVersionLast="47" xr6:coauthVersionMax="47" xr10:uidLastSave="{00000000-0000-0000-0000-000000000000}"/>
  <bookViews>
    <workbookView xWindow="28680" yWindow="-720" windowWidth="29040" windowHeight="15720" tabRatio="868" firstSheet="1" activeTab="1" xr2:uid="{241378CD-17B0-4015-8AD5-6C09DEDF6FBA}"/>
  </bookViews>
  <sheets>
    <sheet name="global grafico" sheetId="2" state="hidden" r:id="rId1"/>
    <sheet name="compara glogal  primera" sheetId="4" r:id="rId2"/>
    <sheet name="DEPRECIACION" sheetId="6" r:id="rId3"/>
  </sheets>
  <definedNames>
    <definedName name="_1_DFL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4" l="1"/>
  <c r="P42" i="4"/>
  <c r="W18" i="4"/>
  <c r="M56" i="4"/>
  <c r="N56" i="4" s="1"/>
  <c r="N35" i="4"/>
  <c r="D5" i="4"/>
  <c r="N34" i="4" s="1"/>
  <c r="P56" i="4" l="1"/>
  <c r="N57" i="4" s="1"/>
  <c r="N23" i="4"/>
  <c r="F13" i="4"/>
  <c r="G34" i="4" s="1"/>
  <c r="F12" i="4"/>
  <c r="M57" i="4" l="1"/>
  <c r="P57" i="4" s="1"/>
  <c r="N58" i="4" s="1"/>
  <c r="H12" i="4"/>
  <c r="G35" i="4" s="1"/>
  <c r="M58" i="4" l="1"/>
  <c r="P58" i="4" s="1"/>
  <c r="M59" i="4" s="1"/>
  <c r="X18" i="4"/>
  <c r="Z30" i="4" s="1"/>
  <c r="X30" i="4"/>
  <c r="P23" i="4"/>
  <c r="N59" i="4" l="1"/>
  <c r="X24" i="4"/>
  <c r="W25" i="4" s="1"/>
  <c r="X26" i="4"/>
  <c r="W27" i="4" s="1"/>
  <c r="X28" i="4"/>
  <c r="W29" i="4" s="1"/>
  <c r="X25" i="4"/>
  <c r="W26" i="4" s="1"/>
  <c r="X27" i="4"/>
  <c r="W28" i="4" s="1"/>
  <c r="X29" i="4"/>
  <c r="W30" i="4" s="1"/>
  <c r="AA30" i="4" s="1"/>
  <c r="X23" i="4"/>
  <c r="W24" i="4" s="1"/>
  <c r="Z25" i="4"/>
  <c r="Z27" i="4"/>
  <c r="Z29" i="4"/>
  <c r="Z24" i="4"/>
  <c r="Z26" i="4"/>
  <c r="Z28" i="4"/>
  <c r="D8" i="4"/>
  <c r="S10" i="6"/>
  <c r="S11" i="6" s="1"/>
  <c r="P59" i="4" l="1"/>
  <c r="AA26" i="4"/>
  <c r="AA27" i="4"/>
  <c r="AA29" i="4"/>
  <c r="AA25" i="4"/>
  <c r="AA24" i="4"/>
  <c r="AA28" i="4"/>
  <c r="N60" i="4" l="1"/>
  <c r="M60" i="4"/>
  <c r="D3" i="4"/>
  <c r="N28" i="4"/>
  <c r="F31" i="4"/>
  <c r="F30" i="4"/>
  <c r="D30" i="4"/>
  <c r="C31" i="4" s="1"/>
  <c r="F29" i="4"/>
  <c r="D29" i="4"/>
  <c r="C30" i="4" s="1"/>
  <c r="F28" i="4"/>
  <c r="D28" i="4"/>
  <c r="C29" i="4" s="1"/>
  <c r="F27" i="4"/>
  <c r="D27" i="4"/>
  <c r="C28" i="4" s="1"/>
  <c r="F26" i="4"/>
  <c r="D26" i="4"/>
  <c r="C27" i="4" s="1"/>
  <c r="F25" i="4"/>
  <c r="D25" i="4"/>
  <c r="C26" i="4" s="1"/>
  <c r="D24" i="4"/>
  <c r="C25" i="4" s="1"/>
  <c r="O22" i="2"/>
  <c r="O21" i="2"/>
  <c r="M21" i="2"/>
  <c r="K21" i="2"/>
  <c r="P60" i="4" l="1"/>
  <c r="D6" i="4"/>
  <c r="N26" i="4" s="1"/>
  <c r="D7" i="4"/>
  <c r="G7" i="4" s="1"/>
  <c r="M61" i="4" l="1"/>
  <c r="N61" i="4"/>
  <c r="D14" i="4"/>
  <c r="G19" i="4" s="1"/>
  <c r="N20" i="4"/>
  <c r="N27" i="4"/>
  <c r="N24" i="4"/>
  <c r="H7" i="4"/>
  <c r="N25" i="4" s="1"/>
  <c r="F7" i="4"/>
  <c r="P61" i="4" l="1"/>
  <c r="M62" i="4" s="1"/>
  <c r="N21" i="4"/>
  <c r="H19" i="4"/>
  <c r="E16" i="4" s="1"/>
  <c r="N30" i="4"/>
  <c r="N62" i="4" l="1"/>
  <c r="P62" i="4" s="1"/>
  <c r="M63" i="4" s="1"/>
  <c r="N32" i="4"/>
  <c r="G20" i="4"/>
  <c r="G21" i="4" s="1"/>
  <c r="N40" i="4" l="1"/>
  <c r="P41" i="4"/>
  <c r="P43" i="4" s="1"/>
  <c r="R56" i="4"/>
  <c r="R57" i="4" s="1"/>
  <c r="R58" i="4" s="1"/>
  <c r="R59" i="4" s="1"/>
  <c r="R60" i="4" s="1"/>
  <c r="R61" i="4" s="1"/>
  <c r="R62" i="4" s="1"/>
  <c r="N63" i="4"/>
  <c r="P63" i="4" s="1"/>
  <c r="M64" i="4" s="1"/>
  <c r="N36" i="4"/>
  <c r="N47" i="4" s="1"/>
  <c r="G24" i="4"/>
  <c r="G27" i="4"/>
  <c r="N64" i="4" l="1"/>
  <c r="P64" i="4" s="1"/>
  <c r="M65" i="4" s="1"/>
  <c r="R63" i="4"/>
  <c r="X39" i="4"/>
  <c r="AA20" i="4" s="1"/>
  <c r="AA23" i="4" s="1"/>
  <c r="AA32" i="4" s="1"/>
  <c r="G25" i="4"/>
  <c r="G30" i="4"/>
  <c r="G29" i="4"/>
  <c r="G28" i="4"/>
  <c r="G26" i="4"/>
  <c r="G31" i="4"/>
  <c r="N65" i="4" l="1"/>
  <c r="R64" i="4"/>
  <c r="X41" i="4"/>
  <c r="G32" i="4"/>
  <c r="G33" i="4" s="1"/>
  <c r="G36" i="4" s="1"/>
  <c r="F36" i="4" s="1"/>
  <c r="AA33" i="4"/>
  <c r="AA34" i="4" s="1"/>
  <c r="AA47" i="4" s="1"/>
  <c r="AA46" i="4"/>
  <c r="R65" i="4" l="1"/>
  <c r="P65" i="4"/>
  <c r="N48" i="4"/>
  <c r="N49" i="4" s="1"/>
  <c r="AA48" i="4"/>
  <c r="N66" i="4" l="1"/>
  <c r="M66" i="4"/>
  <c r="R66" i="4" l="1"/>
  <c r="P66" i="4"/>
  <c r="M67" i="4" l="1"/>
  <c r="N67" i="4"/>
  <c r="P67" i="4" s="1"/>
  <c r="N68" i="4" l="1"/>
  <c r="M68" i="4"/>
  <c r="R67" i="4"/>
  <c r="R68" i="4" l="1"/>
  <c r="P68" i="4"/>
  <c r="M69" i="4"/>
  <c r="N69" i="4"/>
  <c r="P69" i="4" l="1"/>
  <c r="R69" i="4"/>
  <c r="N70" i="4" l="1"/>
  <c r="M70" i="4"/>
  <c r="P70" i="4" l="1"/>
  <c r="M71" i="4" s="1"/>
  <c r="R70" i="4"/>
  <c r="N71" i="4" l="1"/>
  <c r="N72" i="4" s="1"/>
  <c r="N42" i="4" s="1"/>
  <c r="M72" i="4"/>
  <c r="N41" i="4" s="1"/>
  <c r="N43" i="4" s="1"/>
  <c r="P71" i="4" l="1"/>
  <c r="R71" i="4"/>
</calcChain>
</file>

<file path=xl/sharedStrings.xml><?xml version="1.0" encoding="utf-8"?>
<sst xmlns="http://schemas.openxmlformats.org/spreadsheetml/2006/main" count="154" uniqueCount="129">
  <si>
    <t>(*ajustar)</t>
  </si>
  <si>
    <t>imponible</t>
  </si>
  <si>
    <t>TABLA DE IMPUESTO GLOBAL COMPLEMENTARIO</t>
  </si>
  <si>
    <t>DESDE</t>
  </si>
  <si>
    <t>HASTA</t>
  </si>
  <si>
    <t>FACTOR</t>
  </si>
  <si>
    <t>REBAJA</t>
  </si>
  <si>
    <t>IMPUESTO</t>
  </si>
  <si>
    <t>EXENTO</t>
  </si>
  <si>
    <t>Impuesto global</t>
  </si>
  <si>
    <t>Crédito</t>
  </si>
  <si>
    <t>pago o devolución</t>
  </si>
  <si>
    <t>renta bruta</t>
  </si>
  <si>
    <t>renta imponible</t>
  </si>
  <si>
    <t>REGIMEN GENERAL</t>
  </si>
  <si>
    <t>PROPYME  GENERAL</t>
  </si>
  <si>
    <t>ingresos</t>
  </si>
  <si>
    <t xml:space="preserve"> - gastos</t>
  </si>
  <si>
    <t>$$$$$$$$$$</t>
  </si>
  <si>
    <t>$$$$$$</t>
  </si>
  <si>
    <t>$$$$</t>
  </si>
  <si>
    <t xml:space="preserve"> = utilidad</t>
  </si>
  <si>
    <t>hasta 75.000 UF</t>
  </si>
  <si>
    <t>hasta 50.000 UF</t>
  </si>
  <si>
    <t>% impuesto</t>
  </si>
  <si>
    <t>CRÉDITO</t>
  </si>
  <si>
    <t>PAGO O DEV</t>
  </si>
  <si>
    <t>impuesto</t>
  </si>
  <si>
    <t>PROPYME TRANSP.</t>
  </si>
  <si>
    <t>$$$</t>
  </si>
  <si>
    <t xml:space="preserve">Utilidad </t>
  </si>
  <si>
    <t>Socios</t>
  </si>
  <si>
    <t>Impuesto  1ª</t>
  </si>
  <si>
    <t>% Retiro</t>
  </si>
  <si>
    <t>Impuesto Empresa</t>
  </si>
  <si>
    <t>Impuesto Socios</t>
  </si>
  <si>
    <t>*modifique los valores de los casilleros amarillos</t>
  </si>
  <si>
    <t>Total imp pagados</t>
  </si>
  <si>
    <t>Semi Integrado 14A</t>
  </si>
  <si>
    <t>N° PROPIEDADES</t>
  </si>
  <si>
    <t>VALOR ARRIENDO</t>
  </si>
  <si>
    <t>INTERESES</t>
  </si>
  <si>
    <t>VALOR PROPIEDAD</t>
  </si>
  <si>
    <t>INGRESOS X SUELDO</t>
  </si>
  <si>
    <t>INGRESOS POR HONORARIOS</t>
  </si>
  <si>
    <t>CAPITAL</t>
  </si>
  <si>
    <t>CUOTA CRÉDITO</t>
  </si>
  <si>
    <t>INGRESOS ARRIENDO ANUAL</t>
  </si>
  <si>
    <t>GASTOS ANUALES</t>
  </si>
  <si>
    <t>INGRESOS ANUALES</t>
  </si>
  <si>
    <t>XARRIENDO</t>
  </si>
  <si>
    <t>DIVIDENDO ANUAL</t>
  </si>
  <si>
    <t>SEGUROS</t>
  </si>
  <si>
    <t>MANTENCION</t>
  </si>
  <si>
    <t>ADMINISTRACION</t>
  </si>
  <si>
    <t>CONTRIBUCIONES</t>
  </si>
  <si>
    <t>(5% del ingreso)</t>
  </si>
  <si>
    <t>(10% sobre el ingreso)</t>
  </si>
  <si>
    <t>INGRESO POR ARRIENDOS</t>
  </si>
  <si>
    <t>*sueldo más retiros aumentan tu capacidad de crédito</t>
  </si>
  <si>
    <t>RENTA – ACTUAL LEY SOBRE IMPUESTO A LA – ART. 31, N°5, ART. 41. (Ord. Nº 005, de 02-01-2018)</t>
  </si>
  <si>
    <t>CONSULTA SOBRE VALOR DEL TERRENO PARA LOS FINES DE LA DETERMINACIÓN DEL MONTO SUSCEPTIBLE DE DEPRECIACIÓN DE UN BIEN INMUEBLE.</t>
  </si>
  <si>
    <t>Se ha recibido en esta Dirección Nacional, su presentación indicada en el antecedente mediante la cual consulta sobre la forma de determinar, para los efectos del artículo 31, N° 5 de la LIR, aquella parte del precio de compra de un inmueble que corresponde al valor de las construcciones y cuál corresponde al valor del terreno.</t>
  </si>
  <si>
    <t>ANTECEDENTES:</t>
  </si>
  <si>
    <t>En relación con presentación recibida en esa Unidad, la consultante señala haber adquirido un inmueble sin haber efectuado una identificación y cuantificación en la respectiva escritura del valor del terreno sobre el cual se encuentra la construcción cuya depreciación sería, según indica, susceptible de acogerse al mecanismo de depreciación aplicable a los bienes que forman parte del activo inmovilizado.</t>
  </si>
  <si>
    <t>Señala a continuación, que el artículo 31 N° 5 de la Ley de Impuesto a la Renta (LIR), en lo pertinente, señala que para el cálculo de la renta líquida imponible de los contribuyentes de la Primera Categoría que determinan sus rentas efectivas mediante contabilidad completa, podrán deducir una cuota anual de depreciación por los bienes del activo inmovilizado a contar de su utilización en la empresa, calculada sobre el valor neto de los bienes a la fecha del balance respectivo, una vez efectuada la revalorización obligatoria que dispone el artículo 41, sobre ajustes de corrección monetaria.</t>
  </si>
  <si>
    <t>Indica además, que la presentación efectuada por el interesado persigue contar con una certeza jurídica más allá de la posibilidad real de descontar del costo tributario del bien inmueble, aquella cantidad que corresponde al valor del terreno según la información que aparece en el certificado de avalúo detallado a la que el propietario tiene acceso desde la página web de este Servicio. La misma práctica resulta de general aplicación en las respectivas áreas de fiscalización.</t>
  </si>
  <si>
    <t>En atención a que el contribuyente no ha efectuado una distinción entre el valor del terreno y las construcciones en el contrato de compraventa respectivo, y considerando especialmente que la depreciación no resulta aplicable a terrenos, la opinión de esa Dirección Regional, es que en la situación planteada corresponderá al propio contribuyente determinar, para los efectos del artículo 31, N° 5 de la LIR, aquella parte del precio de compra que corresponde al valor de las construcciones, sin perjuicio de las facultades de fiscalización propias de este Servicio.</t>
  </si>
  <si>
    <t>ANÁLISIS.</t>
  </si>
  <si>
    <t>Sobre el particular cabe señalar en primer término, que de acuerdo con lo que establece el artículo 31 N° 5 de la LIR, se acepta tributariamente como gasto, una cuota anual de depreciación de los bienes físicos del activo inmovilizado a contar de su utilización en la empresa, calculada ésta sobre el valor neto de los bienes a la fecha del balance respectivo una vez efectuada la revalorización obligatoria que dispone el artículo 41, lo anterior, siempre que la utilización de dichos bienes se relacione con el giro del negocio y se cumpla además con las condiciones y requisitos que en general el artículo 31 establece para dichos efectos.</t>
  </si>
  <si>
    <t>En relación con esta materia y cuando se trate de bienes inmuebles, el Servicio ha sostenido [1] en forma reiterada la imposibilidad de depreciar el valor de terrenos, por no estar sujetos a desgaste o agotamiento durante su uso o empleo y que por tanto, el valor o costo de dichos terrenos puede ser reconocido como tal en la oportunidad en que sean enajenados.</t>
  </si>
  <si>
    <t>Ahora bien, en lo que a su consulta especifica se refiere, esto es, sobre cuál sería el criterio específico que se debería aplicar para los fines de determinar separadamente el valor del terreno y el de las construcción del bien inmueble, en los casos en que edificio y terreno hayan sido adquiridos conjuntamente y los valores que correspondan a cada cual no vengan específicamente señalados en los documentos que acrediten la adquisición del bien, cabe expresar que la LIR no cuenta dentro de sus disposiciones con una norma de aplicación específica para tales efectos.</t>
  </si>
  <si>
    <t>CONCLUSIÓN.</t>
  </si>
  <si>
    <t>En consecuencia, para los fines de su consulta, esto es, para los efectos del cálculo de la depreciación de un bien inmueble y específicamente para los fines de determinar el valor del terreno no depreciable de dicho bien, cabe expresar que en aquellos casos en que terreno y construcción hayan sido adquiridos conjuntamente en un solo acto y los documentos que acrediten formalmente dicha adquisición, como la escritura y, cuando corresponda, la factura respectiva, no exista constancia del valor específico, detallado y separado, tanto del terreno como de la construcción, para determinar cuál es la parte del valor de adquisición del inmueble que corresponde considerar como valor del terreno se utilizará uno de los siguientes procedimientos:</t>
  </si>
  <si>
    <t>1. El contribuyente podrá efectuar una tasación comercial del terreno, a la fecha de adquisición del inmueble, sin perjuicio de las facultades generales de fiscalización del Servicio respecto de dicha tasación; o bien,</t>
  </si>
  <si>
    <t>1. Se determinará el porcentaje que representa el valor de tasación fiscal del terreno, en el valor de tasación fiscal total del inmueble. El porcentaje determinado en la forma indicada, aplicado sobre el valor de adquisición del inmueble, determinará el valor de adquisición del terreno, para los efectos tributarios ya comentados. Para los fines del cálculo señalado, los valores de tasación fiscal tanto del terreno como del total del inmueble, pueden ser consultados en las páginas de Internet del Servicio www.sii.cl .</t>
  </si>
  <si>
    <t>En aquellos casos en que no pueda aplicarse el procedimiento indicado en este número, porque en el avalúo fiscal del inmueble no se indica el valor del terreno, como por ejemplo en el caso de departamentos, bodegas y estacionamientos de un edificio, en que el valor del terreno se encuentra prorrateado en el valor de éstos junto con el valor de otras construcciones de uso comunitario, como sala de eventos, sala de ejercicios, etc. el avalúo del terreno deberá consultarse a este Servicio.</t>
  </si>
  <si>
    <t>FERNANDO BARRAZA LUENGO</t>
  </si>
  <si>
    <t>DIRECTOR</t>
  </si>
  <si>
    <t>Oficio N° 005, de 02.01.2018</t>
  </si>
  <si>
    <t>Subdirección Normativa</t>
  </si>
  <si>
    <t>Dpto. de Impuestos Directos</t>
  </si>
  <si>
    <t>________________________________________</t>
  </si>
  <si>
    <t>[1] Oficio N° 1.190, de 06.06.1997.</t>
  </si>
  <si>
    <t>2A CATEGORIA</t>
  </si>
  <si>
    <t>propiedad</t>
  </si>
  <si>
    <t>vida útil</t>
  </si>
  <si>
    <t>impuesto 27%</t>
  </si>
  <si>
    <t>intereses</t>
  </si>
  <si>
    <t>1A CATEGORIA - 14A</t>
  </si>
  <si>
    <t>terreno</t>
  </si>
  <si>
    <t xml:space="preserve"> + 2 DFL2</t>
  </si>
  <si>
    <t>perdida o ganacia CONTABLE</t>
  </si>
  <si>
    <t>PATENTE</t>
  </si>
  <si>
    <t>DEPRECIACIÓN ANUAL</t>
  </si>
  <si>
    <t>sii</t>
  </si>
  <si>
    <t>impuesto empresa + socio</t>
  </si>
  <si>
    <t>devolución socios</t>
  </si>
  <si>
    <t>(ppm de honorarios)</t>
  </si>
  <si>
    <t>Crédito Honorarios</t>
  </si>
  <si>
    <t>Crédito retiros</t>
  </si>
  <si>
    <t>Contribuciones</t>
  </si>
  <si>
    <t>INGRESOS POR RETIROS 14A</t>
  </si>
  <si>
    <t>VENTA PROPIEDAD</t>
  </si>
  <si>
    <t xml:space="preserve"> &gt; 8,000 UF</t>
  </si>
  <si>
    <t>y más</t>
  </si>
  <si>
    <t>Año com 2025</t>
  </si>
  <si>
    <t>EBITDA</t>
  </si>
  <si>
    <t>CONTADOR</t>
  </si>
  <si>
    <t>CORRECCION MONETARIA +</t>
  </si>
  <si>
    <t>DEPRECIACIÓN -</t>
  </si>
  <si>
    <t>gasto anual :</t>
  </si>
  <si>
    <t>UTA 2025</t>
  </si>
  <si>
    <t>https://www.sii.cl/valores_y_fechas/utm/utm2025.htm</t>
  </si>
  <si>
    <t>https://www.sii.cl/valores_y_fechas/correccion_monetaria/correccion2025.htm</t>
  </si>
  <si>
    <t>UTM Dic 2025</t>
  </si>
  <si>
    <t>CORRECCIÓN MONETARIA</t>
  </si>
  <si>
    <t>AÑO</t>
  </si>
  <si>
    <t>EN 16 AÑOS</t>
  </si>
  <si>
    <t>DEPRECIACIÓN</t>
  </si>
  <si>
    <t>CM +</t>
  </si>
  <si>
    <t>RLI (perdida o ganacia)</t>
  </si>
  <si>
    <t>CORRECCIÓN MONETARIA 16 ÑOS</t>
  </si>
  <si>
    <t>CONTABLE +</t>
  </si>
  <si>
    <t>PÉRDIDA ACUMULADA</t>
  </si>
  <si>
    <t>VALOR BIENES</t>
  </si>
  <si>
    <t>CAJA</t>
  </si>
  <si>
    <t>UTILIDADES</t>
  </si>
  <si>
    <t>27BIS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</si>
</sst>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quot;#,##0"/>
    <numFmt numFmtId="165" formatCode="&quot;$&quot;\ #,##0"/>
    <numFmt numFmtId="166" formatCode="0.000"/>
    <numFmt numFmtId="167" formatCode="&quot;$&quot;#,##0.0000"/>
    <numFmt numFmtId="168" formatCode="0.0%"/>
    <numFmt numFmtId="169" formatCode="&quot;M&quot;\ &quot;$&quot;#,##0"/>
    <numFmt numFmtId="170" formatCode="&quot;M&quot;\ &quot;$&quot;#,##0.#"/>
    <numFmt numFmtId="171" formatCode="&quot;M&quot;&quot;$&quot;* #,##0.#"/>
    <numFmt numFmtId="172" formatCode="0.0000%"/>
    <numFmt numFmtId="173" formatCode="\ #,##0\ \U\T\A"/>
    <numFmt numFmtId="174" formatCode="#,##0.0"/>
  </numFmts>
  <fonts count="16" x14ac:knownFonts="1">
    <font>
      <sz val="11"/>
      <color theme="1"/>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sz val="12"/>
      <color theme="1"/>
      <name val="Calibri"/>
      <family val="2"/>
      <scheme val="minor"/>
    </font>
    <font>
      <sz val="8"/>
      <name val="Verdana"/>
      <family val="2"/>
    </font>
    <font>
      <sz val="9"/>
      <color theme="1"/>
      <name val="Calibri"/>
      <family val="2"/>
      <scheme val="minor"/>
    </font>
    <font>
      <i/>
      <u/>
      <sz val="11"/>
      <color theme="1"/>
      <name val="Calibri"/>
      <family val="2"/>
      <scheme val="minor"/>
    </font>
    <font>
      <b/>
      <sz val="16"/>
      <color theme="0"/>
      <name val="Calibri"/>
      <family val="2"/>
      <scheme val="minor"/>
    </font>
    <font>
      <sz val="20"/>
      <color theme="1"/>
      <name val="Calibri"/>
      <family val="2"/>
      <scheme val="minor"/>
    </font>
    <font>
      <b/>
      <sz val="20"/>
      <color theme="1"/>
      <name val="Calibri"/>
      <family val="2"/>
      <scheme val="minor"/>
    </font>
    <font>
      <sz val="11"/>
      <color theme="0" tint="-0.499984740745262"/>
      <name val="Calibri"/>
      <family val="2"/>
      <scheme val="minor"/>
    </font>
    <font>
      <u/>
      <sz val="11"/>
      <color theme="10"/>
      <name val="Calibri"/>
      <family val="2"/>
      <scheme val="minor"/>
    </font>
    <font>
      <sz val="10"/>
      <color theme="1"/>
      <name val="Calibri"/>
      <family val="2"/>
      <scheme val="minor"/>
    </font>
    <font>
      <sz val="11"/>
      <color theme="5"/>
      <name val="Calibri"/>
      <family val="2"/>
      <scheme val="minor"/>
    </font>
    <font>
      <sz val="22"/>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2"/>
        <bgColor indexed="64"/>
      </patternFill>
    </fill>
    <fill>
      <patternFill patternType="solid">
        <fgColor theme="2"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99">
    <xf numFmtId="0" fontId="0" fillId="0" borderId="0" xfId="0"/>
    <xf numFmtId="0" fontId="0" fillId="2" borderId="0" xfId="0" applyFill="1"/>
    <xf numFmtId="164" fontId="0" fillId="2" borderId="1" xfId="0" applyNumberFormat="1" applyFill="1" applyBorder="1"/>
    <xf numFmtId="0" fontId="0" fillId="2" borderId="0" xfId="0" applyFill="1" applyAlignment="1">
      <alignment horizontal="right"/>
    </xf>
    <xf numFmtId="165" fontId="0" fillId="2" borderId="0" xfId="0" applyNumberFormat="1" applyFill="1"/>
    <xf numFmtId="0" fontId="3" fillId="2" borderId="0" xfId="0" applyFont="1" applyFill="1"/>
    <xf numFmtId="165" fontId="0" fillId="2" borderId="2" xfId="0" applyNumberFormat="1" applyFill="1" applyBorder="1"/>
    <xf numFmtId="165" fontId="1" fillId="2" borderId="0" xfId="0" applyNumberFormat="1" applyFont="1" applyFill="1"/>
    <xf numFmtId="0" fontId="0" fillId="2" borderId="7" xfId="0" applyFill="1" applyBorder="1"/>
    <xf numFmtId="3" fontId="0" fillId="2" borderId="8" xfId="0" applyNumberFormat="1" applyFill="1" applyBorder="1"/>
    <xf numFmtId="0" fontId="0" fillId="2" borderId="8" xfId="0" applyFill="1" applyBorder="1" applyAlignment="1">
      <alignment horizontal="right"/>
    </xf>
    <xf numFmtId="0" fontId="0" fillId="2" borderId="8" xfId="0" applyFill="1" applyBorder="1"/>
    <xf numFmtId="3" fontId="0" fillId="2" borderId="9" xfId="0" applyNumberFormat="1" applyFill="1" applyBorder="1"/>
    <xf numFmtId="3" fontId="0" fillId="2" borderId="10" xfId="0" applyNumberFormat="1" applyFill="1" applyBorder="1"/>
    <xf numFmtId="3" fontId="0" fillId="2" borderId="1" xfId="0" applyNumberFormat="1" applyFill="1" applyBorder="1"/>
    <xf numFmtId="166" fontId="0" fillId="2" borderId="1" xfId="0" applyNumberFormat="1" applyFill="1" applyBorder="1"/>
    <xf numFmtId="4" fontId="0" fillId="2" borderId="1" xfId="0" applyNumberFormat="1" applyFill="1" applyBorder="1" applyAlignment="1">
      <alignment wrapText="1"/>
    </xf>
    <xf numFmtId="3" fontId="0" fillId="2" borderId="11" xfId="0" applyNumberFormat="1" applyFill="1" applyBorder="1"/>
    <xf numFmtId="166" fontId="0" fillId="2" borderId="1" xfId="0" applyNumberFormat="1" applyFill="1" applyBorder="1" applyAlignment="1">
      <alignment wrapText="1"/>
    </xf>
    <xf numFmtId="3" fontId="0" fillId="2" borderId="12" xfId="0" applyNumberFormat="1" applyFill="1" applyBorder="1"/>
    <xf numFmtId="166" fontId="0" fillId="2" borderId="13" xfId="0" applyNumberFormat="1" applyFill="1" applyBorder="1"/>
    <xf numFmtId="4" fontId="0" fillId="2" borderId="13" xfId="0" applyNumberFormat="1" applyFill="1" applyBorder="1" applyAlignment="1">
      <alignment wrapText="1"/>
    </xf>
    <xf numFmtId="3" fontId="0" fillId="2" borderId="14" xfId="0" applyNumberFormat="1" applyFill="1" applyBorder="1"/>
    <xf numFmtId="3" fontId="0" fillId="2" borderId="0" xfId="0" applyNumberFormat="1" applyFill="1"/>
    <xf numFmtId="166" fontId="0" fillId="2" borderId="0" xfId="0" applyNumberFormat="1" applyFill="1"/>
    <xf numFmtId="4" fontId="0" fillId="2" borderId="0" xfId="0" applyNumberFormat="1" applyFill="1" applyAlignment="1">
      <alignment wrapText="1"/>
    </xf>
    <xf numFmtId="167" fontId="0" fillId="2" borderId="0" xfId="0" applyNumberFormat="1" applyFill="1"/>
    <xf numFmtId="4" fontId="0" fillId="2" borderId="0" xfId="0" applyNumberFormat="1" applyFill="1" applyAlignment="1">
      <alignment horizontal="right"/>
    </xf>
    <xf numFmtId="3" fontId="1" fillId="2" borderId="0" xfId="0" applyNumberFormat="1" applyFont="1" applyFill="1"/>
    <xf numFmtId="168" fontId="0" fillId="0" borderId="0" xfId="0" applyNumberFormat="1"/>
    <xf numFmtId="164" fontId="0" fillId="2" borderId="0" xfId="0" applyNumberFormat="1" applyFill="1"/>
    <xf numFmtId="169" fontId="0" fillId="2" borderId="0" xfId="0" applyNumberFormat="1" applyFill="1"/>
    <xf numFmtId="171" fontId="0" fillId="2" borderId="1" xfId="0" applyNumberFormat="1" applyFill="1" applyBorder="1"/>
    <xf numFmtId="168" fontId="0" fillId="2" borderId="1" xfId="0" applyNumberFormat="1" applyFill="1" applyBorder="1"/>
    <xf numFmtId="170" fontId="0" fillId="2" borderId="1" xfId="0" applyNumberFormat="1" applyFill="1" applyBorder="1"/>
    <xf numFmtId="0" fontId="1" fillId="3" borderId="1" xfId="0" applyFont="1" applyFill="1" applyBorder="1"/>
    <xf numFmtId="0" fontId="0" fillId="2" borderId="15" xfId="0" applyFill="1" applyBorder="1" applyAlignment="1">
      <alignment horizontal="right"/>
    </xf>
    <xf numFmtId="9" fontId="0" fillId="2" borderId="0" xfId="0" applyNumberFormat="1" applyFill="1"/>
    <xf numFmtId="3" fontId="0" fillId="2" borderId="0" xfId="0" applyNumberFormat="1" applyFill="1" applyAlignment="1">
      <alignment horizontal="right"/>
    </xf>
    <xf numFmtId="0" fontId="1" fillId="2" borderId="0" xfId="0" applyFont="1" applyFill="1"/>
    <xf numFmtId="0" fontId="0" fillId="4" borderId="0" xfId="0" applyFill="1"/>
    <xf numFmtId="164" fontId="0" fillId="5" borderId="1" xfId="0" applyNumberFormat="1" applyFill="1" applyBorder="1"/>
    <xf numFmtId="165" fontId="0" fillId="4" borderId="0" xfId="0" applyNumberFormat="1" applyFill="1"/>
    <xf numFmtId="0" fontId="4" fillId="6" borderId="3" xfId="0" applyFont="1" applyFill="1" applyBorder="1"/>
    <xf numFmtId="0" fontId="0" fillId="6" borderId="4" xfId="0" applyFill="1" applyBorder="1"/>
    <xf numFmtId="0" fontId="1" fillId="6" borderId="4" xfId="0" applyFont="1" applyFill="1" applyBorder="1" applyAlignment="1">
      <alignment horizontal="center"/>
    </xf>
    <xf numFmtId="4" fontId="0" fillId="6" borderId="5" xfId="0" applyNumberFormat="1" applyFill="1" applyBorder="1"/>
    <xf numFmtId="3" fontId="0" fillId="4" borderId="0" xfId="0" applyNumberFormat="1" applyFill="1"/>
    <xf numFmtId="0" fontId="5" fillId="6" borderId="6" xfId="0" applyFont="1" applyFill="1" applyBorder="1" applyAlignment="1">
      <alignment horizontal="center" vertical="center" wrapText="1"/>
    </xf>
    <xf numFmtId="4" fontId="0" fillId="2" borderId="0" xfId="0" applyNumberFormat="1" applyFill="1"/>
    <xf numFmtId="4" fontId="0" fillId="4" borderId="0" xfId="0" applyNumberFormat="1" applyFill="1"/>
    <xf numFmtId="3" fontId="0" fillId="5" borderId="1" xfId="0" applyNumberFormat="1" applyFill="1" applyBorder="1"/>
    <xf numFmtId="172" fontId="0" fillId="2" borderId="0" xfId="0" applyNumberFormat="1" applyFill="1"/>
    <xf numFmtId="4" fontId="6" fillId="2" borderId="0" xfId="0" applyNumberFormat="1" applyFont="1" applyFill="1"/>
    <xf numFmtId="165" fontId="0" fillId="2" borderId="16" xfId="0" applyNumberFormat="1" applyFill="1" applyBorder="1"/>
    <xf numFmtId="0" fontId="7" fillId="2" borderId="0" xfId="0" applyFont="1" applyFill="1"/>
    <xf numFmtId="165" fontId="0" fillId="4" borderId="17" xfId="0" applyNumberFormat="1" applyFill="1" applyBorder="1"/>
    <xf numFmtId="9" fontId="0" fillId="5" borderId="1" xfId="0" applyNumberFormat="1" applyFill="1" applyBorder="1"/>
    <xf numFmtId="0" fontId="2" fillId="4" borderId="0" xfId="0" applyFont="1" applyFill="1"/>
    <xf numFmtId="4" fontId="2" fillId="4" borderId="0" xfId="0" applyNumberFormat="1" applyFont="1" applyFill="1"/>
    <xf numFmtId="0" fontId="8" fillId="4" borderId="0" xfId="0" applyFont="1" applyFill="1"/>
    <xf numFmtId="10" fontId="0" fillId="2" borderId="0" xfId="0" applyNumberFormat="1" applyFill="1"/>
    <xf numFmtId="3" fontId="0" fillId="2" borderId="1" xfId="0" applyNumberFormat="1" applyFill="1" applyBorder="1" applyAlignment="1">
      <alignment horizontal="center"/>
    </xf>
    <xf numFmtId="0" fontId="0" fillId="3" borderId="1" xfId="0" applyFill="1" applyBorder="1" applyAlignment="1">
      <alignment horizontal="center"/>
    </xf>
    <xf numFmtId="3" fontId="0" fillId="2" borderId="15" xfId="0" applyNumberFormat="1" applyFill="1" applyBorder="1"/>
    <xf numFmtId="0" fontId="5" fillId="7" borderId="6" xfId="0" applyFont="1" applyFill="1" applyBorder="1" applyAlignment="1">
      <alignment horizontal="center" vertical="center" wrapText="1"/>
    </xf>
    <xf numFmtId="3" fontId="9" fillId="2" borderId="0" xfId="0" applyNumberFormat="1" applyFont="1" applyFill="1"/>
    <xf numFmtId="3" fontId="10" fillId="2" borderId="0" xfId="0" applyNumberFormat="1" applyFont="1" applyFill="1"/>
    <xf numFmtId="0" fontId="0" fillId="8" borderId="0" xfId="0" applyFill="1"/>
    <xf numFmtId="173" fontId="0" fillId="2" borderId="0" xfId="0" applyNumberFormat="1" applyFill="1"/>
    <xf numFmtId="2" fontId="0" fillId="2" borderId="0" xfId="0" applyNumberFormat="1" applyFill="1"/>
    <xf numFmtId="3" fontId="11" fillId="2" borderId="0" xfId="0" applyNumberFormat="1" applyFont="1" applyFill="1"/>
    <xf numFmtId="0" fontId="12" fillId="2" borderId="0" xfId="1" applyFill="1"/>
    <xf numFmtId="165" fontId="0" fillId="2" borderId="0" xfId="0" applyNumberFormat="1" applyFill="1" applyAlignment="1">
      <alignment horizontal="right"/>
    </xf>
    <xf numFmtId="174" fontId="0" fillId="5" borderId="1" xfId="0" applyNumberFormat="1" applyFill="1" applyBorder="1"/>
    <xf numFmtId="0" fontId="0" fillId="2" borderId="2" xfId="0" applyFill="1" applyBorder="1"/>
    <xf numFmtId="165" fontId="0" fillId="6" borderId="17" xfId="0" applyNumberFormat="1" applyFill="1" applyBorder="1"/>
    <xf numFmtId="168" fontId="0" fillId="2" borderId="0" xfId="0" applyNumberFormat="1" applyFill="1"/>
    <xf numFmtId="0" fontId="0" fillId="2" borderId="19" xfId="0" applyFill="1" applyBorder="1"/>
    <xf numFmtId="0" fontId="0" fillId="2" borderId="20" xfId="0" applyFill="1" applyBorder="1"/>
    <xf numFmtId="3" fontId="0" fillId="2" borderId="21" xfId="0" applyNumberFormat="1" applyFill="1" applyBorder="1"/>
    <xf numFmtId="0" fontId="0" fillId="2" borderId="18" xfId="0" applyFill="1" applyBorder="1"/>
    <xf numFmtId="3" fontId="0" fillId="2" borderId="22" xfId="0" applyNumberFormat="1" applyFill="1" applyBorder="1"/>
    <xf numFmtId="0" fontId="0" fillId="2" borderId="23" xfId="0" applyFill="1" applyBorder="1"/>
    <xf numFmtId="3" fontId="0" fillId="2" borderId="24" xfId="0" applyNumberFormat="1" applyFill="1" applyBorder="1"/>
    <xf numFmtId="0" fontId="14" fillId="2" borderId="0" xfId="0" applyFont="1" applyFill="1"/>
    <xf numFmtId="0" fontId="0" fillId="2" borderId="0" xfId="0" applyFill="1" applyAlignment="1">
      <alignment horizontal="left"/>
    </xf>
    <xf numFmtId="0" fontId="1" fillId="2" borderId="2" xfId="0" applyFont="1" applyFill="1" applyBorder="1"/>
    <xf numFmtId="0" fontId="13" fillId="2" borderId="0" xfId="0" applyFont="1" applyFill="1"/>
    <xf numFmtId="3" fontId="0" fillId="2" borderId="2" xfId="0" applyNumberFormat="1" applyFill="1" applyBorder="1"/>
    <xf numFmtId="3" fontId="0" fillId="2" borderId="12" xfId="0" applyNumberFormat="1" applyFill="1" applyBorder="1" applyAlignment="1">
      <alignment horizontal="center"/>
    </xf>
    <xf numFmtId="0" fontId="15" fillId="2" borderId="0" xfId="0" applyFont="1" applyFill="1"/>
    <xf numFmtId="3" fontId="15" fillId="2" borderId="0" xfId="0" applyNumberFormat="1" applyFont="1" applyFill="1"/>
    <xf numFmtId="3" fontId="15" fillId="2" borderId="2" xfId="0" applyNumberFormat="1" applyFont="1" applyFill="1" applyBorder="1"/>
    <xf numFmtId="0" fontId="15" fillId="2" borderId="0" xfId="0" applyFont="1" applyFill="1" applyAlignment="1">
      <alignment horizontal="right"/>
    </xf>
    <xf numFmtId="168" fontId="0" fillId="5" borderId="1" xfId="0" applyNumberFormat="1" applyFill="1" applyBorder="1"/>
    <xf numFmtId="0" fontId="4" fillId="7" borderId="3" xfId="0" applyFont="1" applyFill="1" applyBorder="1" applyAlignment="1">
      <alignment horizontal="center"/>
    </xf>
    <xf numFmtId="0" fontId="0" fillId="0" borderId="4" xfId="0" applyBorder="1" applyAlignment="1">
      <alignment horizontal="center"/>
    </xf>
    <xf numFmtId="0" fontId="0" fillId="0" borderId="5" xfId="0"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7</xdr:col>
      <xdr:colOff>200027</xdr:colOff>
      <xdr:row>10</xdr:row>
      <xdr:rowOff>150813</xdr:rowOff>
    </xdr:from>
    <xdr:to>
      <xdr:col>7</xdr:col>
      <xdr:colOff>206375</xdr:colOff>
      <xdr:row>25</xdr:row>
      <xdr:rowOff>180975</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flipH="1">
          <a:off x="5264152" y="2055813"/>
          <a:ext cx="6348" cy="3602037"/>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114300</xdr:colOff>
      <xdr:row>11</xdr:row>
      <xdr:rowOff>28575</xdr:rowOff>
    </xdr:from>
    <xdr:to>
      <xdr:col>11</xdr:col>
      <xdr:colOff>114300</xdr:colOff>
      <xdr:row>22</xdr:row>
      <xdr:rowOff>127275</xdr:rowOff>
    </xdr:to>
    <xdr:cxnSp macro="">
      <xdr:nvCxnSpPr>
        <xdr:cNvPr id="14" name="Conector recto 13">
          <a:extLst>
            <a:ext uri="{FF2B5EF4-FFF2-40B4-BE49-F238E27FC236}">
              <a16:creationId xmlns:a16="http://schemas.microsoft.com/office/drawing/2014/main" id="{00000000-0008-0000-0000-00000E000000}"/>
            </a:ext>
          </a:extLst>
        </xdr:cNvPr>
        <xdr:cNvCxnSpPr/>
      </xdr:nvCxnSpPr>
      <xdr:spPr>
        <a:xfrm>
          <a:off x="7600950" y="2124075"/>
          <a:ext cx="0" cy="2880000"/>
        </a:xfrm>
        <a:prstGeom prst="line">
          <a:avLst/>
        </a:prstGeom>
        <a:ln w="15875">
          <a:solidFill>
            <a:schemeClr val="bg2"/>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161925</xdr:colOff>
      <xdr:row>11</xdr:row>
      <xdr:rowOff>47625</xdr:rowOff>
    </xdr:from>
    <xdr:to>
      <xdr:col>13</xdr:col>
      <xdr:colOff>161925</xdr:colOff>
      <xdr:row>22</xdr:row>
      <xdr:rowOff>146325</xdr:rowOff>
    </xdr:to>
    <xdr:cxnSp macro="">
      <xdr:nvCxnSpPr>
        <xdr:cNvPr id="15" name="Conector recto 14">
          <a:extLst>
            <a:ext uri="{FF2B5EF4-FFF2-40B4-BE49-F238E27FC236}">
              <a16:creationId xmlns:a16="http://schemas.microsoft.com/office/drawing/2014/main" id="{00000000-0008-0000-0000-00000F000000}"/>
            </a:ext>
          </a:extLst>
        </xdr:cNvPr>
        <xdr:cNvCxnSpPr/>
      </xdr:nvCxnSpPr>
      <xdr:spPr>
        <a:xfrm>
          <a:off x="9077325" y="2143125"/>
          <a:ext cx="0" cy="2880000"/>
        </a:xfrm>
        <a:prstGeom prst="line">
          <a:avLst/>
        </a:prstGeom>
        <a:ln w="15875">
          <a:solidFill>
            <a:schemeClr val="bg2"/>
          </a:solidFill>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133349</xdr:colOff>
      <xdr:row>4</xdr:row>
      <xdr:rowOff>171448</xdr:rowOff>
    </xdr:from>
    <xdr:to>
      <xdr:col>4</xdr:col>
      <xdr:colOff>295275</xdr:colOff>
      <xdr:row>7</xdr:row>
      <xdr:rowOff>133349</xdr:rowOff>
    </xdr:to>
    <xdr:sp macro="" textlink="">
      <xdr:nvSpPr>
        <xdr:cNvPr id="9" name="Abrir llave 8">
          <a:extLst>
            <a:ext uri="{FF2B5EF4-FFF2-40B4-BE49-F238E27FC236}">
              <a16:creationId xmlns:a16="http://schemas.microsoft.com/office/drawing/2014/main" id="{00000000-0008-0000-0400-000009000000}"/>
            </a:ext>
          </a:extLst>
        </xdr:cNvPr>
        <xdr:cNvSpPr/>
      </xdr:nvSpPr>
      <xdr:spPr>
        <a:xfrm>
          <a:off x="3733799" y="1123948"/>
          <a:ext cx="161926" cy="533401"/>
        </a:xfrm>
        <a:prstGeom prst="leftBrace">
          <a:avLst>
            <a:gd name="adj1" fmla="val 8333"/>
            <a:gd name="adj2" fmla="val 5839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L" sz="1100"/>
        </a:p>
      </xdr:txBody>
    </xdr:sp>
    <xdr:clientData/>
  </xdr:twoCellAnchor>
  <xdr:twoCellAnchor editAs="oneCell">
    <xdr:from>
      <xdr:col>2</xdr:col>
      <xdr:colOff>301144</xdr:colOff>
      <xdr:row>48</xdr:row>
      <xdr:rowOff>165243</xdr:rowOff>
    </xdr:from>
    <xdr:to>
      <xdr:col>8</xdr:col>
      <xdr:colOff>113346</xdr:colOff>
      <xdr:row>83</xdr:row>
      <xdr:rowOff>31173</xdr:rowOff>
    </xdr:to>
    <xdr:pic>
      <xdr:nvPicPr>
        <xdr:cNvPr id="7" name="Imagen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1175712" y="10088561"/>
          <a:ext cx="6263225" cy="6542089"/>
        </a:xfrm>
        <a:prstGeom prst="rect">
          <a:avLst/>
        </a:prstGeom>
      </xdr:spPr>
    </xdr:pic>
    <xdr:clientData/>
  </xdr:twoCellAnchor>
  <xdr:twoCellAnchor>
    <xdr:from>
      <xdr:col>11</xdr:col>
      <xdr:colOff>801688</xdr:colOff>
      <xdr:row>32</xdr:row>
      <xdr:rowOff>47625</xdr:rowOff>
    </xdr:from>
    <xdr:to>
      <xdr:col>14</xdr:col>
      <xdr:colOff>944562</xdr:colOff>
      <xdr:row>32</xdr:row>
      <xdr:rowOff>79375</xdr:rowOff>
    </xdr:to>
    <xdr:cxnSp macro="">
      <xdr:nvCxnSpPr>
        <xdr:cNvPr id="8" name="Conector recto 7">
          <a:extLst>
            <a:ext uri="{FF2B5EF4-FFF2-40B4-BE49-F238E27FC236}">
              <a16:creationId xmlns:a16="http://schemas.microsoft.com/office/drawing/2014/main" id="{00000000-0008-0000-0400-000008000000}"/>
            </a:ext>
          </a:extLst>
        </xdr:cNvPr>
        <xdr:cNvCxnSpPr/>
      </xdr:nvCxnSpPr>
      <xdr:spPr>
        <a:xfrm flipV="1">
          <a:off x="9532938" y="5691188"/>
          <a:ext cx="3643312" cy="31750"/>
        </a:xfrm>
        <a:prstGeom prst="line">
          <a:avLst/>
        </a:prstGeom>
        <a:ln>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22224</xdr:colOff>
      <xdr:row>40</xdr:row>
      <xdr:rowOff>120967</xdr:rowOff>
    </xdr:from>
    <xdr:to>
      <xdr:col>26</xdr:col>
      <xdr:colOff>7621</xdr:colOff>
      <xdr:row>45</xdr:row>
      <xdr:rowOff>70485</xdr:rowOff>
    </xdr:to>
    <xdr:cxnSp macro="">
      <xdr:nvCxnSpPr>
        <xdr:cNvPr id="13" name="Conector recto de flecha 12">
          <a:extLst>
            <a:ext uri="{FF2B5EF4-FFF2-40B4-BE49-F238E27FC236}">
              <a16:creationId xmlns:a16="http://schemas.microsoft.com/office/drawing/2014/main" id="{00000000-0008-0000-0400-00000D000000}"/>
            </a:ext>
          </a:extLst>
        </xdr:cNvPr>
        <xdr:cNvCxnSpPr/>
      </xdr:nvCxnSpPr>
      <xdr:spPr>
        <a:xfrm>
          <a:off x="15090774" y="4902517"/>
          <a:ext cx="1814197" cy="902018"/>
        </a:xfrm>
        <a:prstGeom prst="straightConnector1">
          <a:avLst/>
        </a:prstGeom>
        <a:ln w="6350">
          <a:headEnd type="oval" w="sm" len="sm"/>
          <a:tailEnd type="oval" w="sm" len="sm"/>
        </a:ln>
      </xdr:spPr>
      <xdr:style>
        <a:lnRef idx="2">
          <a:schemeClr val="dk1"/>
        </a:lnRef>
        <a:fillRef idx="0">
          <a:schemeClr val="dk1"/>
        </a:fillRef>
        <a:effectRef idx="1">
          <a:schemeClr val="dk1"/>
        </a:effectRef>
        <a:fontRef idx="minor">
          <a:schemeClr val="tx1"/>
        </a:fontRef>
      </xdr:style>
    </xdr:cxnSp>
    <xdr:clientData/>
  </xdr:twoCellAnchor>
  <xdr:twoCellAnchor>
    <xdr:from>
      <xdr:col>27</xdr:col>
      <xdr:colOff>41274</xdr:colOff>
      <xdr:row>33</xdr:row>
      <xdr:rowOff>114617</xdr:rowOff>
    </xdr:from>
    <xdr:to>
      <xdr:col>27</xdr:col>
      <xdr:colOff>47625</xdr:colOff>
      <xdr:row>46</xdr:row>
      <xdr:rowOff>113030</xdr:rowOff>
    </xdr:to>
    <xdr:cxnSp macro="">
      <xdr:nvCxnSpPr>
        <xdr:cNvPr id="14" name="Conector recto de flecha 13">
          <a:extLst>
            <a:ext uri="{FF2B5EF4-FFF2-40B4-BE49-F238E27FC236}">
              <a16:creationId xmlns:a16="http://schemas.microsoft.com/office/drawing/2014/main" id="{00000000-0008-0000-0400-00000E000000}"/>
            </a:ext>
          </a:extLst>
        </xdr:cNvPr>
        <xdr:cNvCxnSpPr/>
      </xdr:nvCxnSpPr>
      <xdr:spPr>
        <a:xfrm>
          <a:off x="17872074" y="3400742"/>
          <a:ext cx="6351" cy="2636838"/>
        </a:xfrm>
        <a:prstGeom prst="straightConnector1">
          <a:avLst/>
        </a:prstGeom>
        <a:ln w="6350">
          <a:headEnd type="oval" w="sm" len="sm"/>
          <a:tailEnd type="oval" w="sm" len="sm"/>
        </a:ln>
      </xdr:spPr>
      <xdr:style>
        <a:lnRef idx="2">
          <a:schemeClr val="dk1"/>
        </a:lnRef>
        <a:fillRef idx="0">
          <a:schemeClr val="dk1"/>
        </a:fillRef>
        <a:effectRef idx="1">
          <a:schemeClr val="dk1"/>
        </a:effectRef>
        <a:fontRef idx="minor">
          <a:schemeClr val="tx1"/>
        </a:fontRef>
      </xdr:style>
    </xdr:cxnSp>
    <xdr:clientData/>
  </xdr:twoCellAnchor>
  <xdr:twoCellAnchor>
    <xdr:from>
      <xdr:col>24</xdr:col>
      <xdr:colOff>25832</xdr:colOff>
      <xdr:row>32</xdr:row>
      <xdr:rowOff>153865</xdr:rowOff>
    </xdr:from>
    <xdr:to>
      <xdr:col>26</xdr:col>
      <xdr:colOff>80596</xdr:colOff>
      <xdr:row>40</xdr:row>
      <xdr:rowOff>125415</xdr:rowOff>
    </xdr:to>
    <xdr:cxnSp macro="">
      <xdr:nvCxnSpPr>
        <xdr:cNvPr id="15" name="Conector recto de flecha 14">
          <a:extLst>
            <a:ext uri="{FF2B5EF4-FFF2-40B4-BE49-F238E27FC236}">
              <a16:creationId xmlns:a16="http://schemas.microsoft.com/office/drawing/2014/main" id="{00000000-0008-0000-0400-00000F000000}"/>
            </a:ext>
          </a:extLst>
        </xdr:cNvPr>
        <xdr:cNvCxnSpPr/>
      </xdr:nvCxnSpPr>
      <xdr:spPr>
        <a:xfrm flipV="1">
          <a:off x="15094382" y="3249490"/>
          <a:ext cx="1883564" cy="1657475"/>
        </a:xfrm>
        <a:prstGeom prst="straightConnector1">
          <a:avLst/>
        </a:prstGeom>
        <a:ln w="6350">
          <a:headEnd type="oval" w="sm" len="sm"/>
          <a:tailEnd type="oval" w="sm" len="sm"/>
        </a:ln>
      </xdr:spPr>
      <xdr:style>
        <a:lnRef idx="2">
          <a:schemeClr val="dk1"/>
        </a:lnRef>
        <a:fillRef idx="0">
          <a:schemeClr val="dk1"/>
        </a:fillRef>
        <a:effectRef idx="1">
          <a:schemeClr val="dk1"/>
        </a:effectRef>
        <a:fontRef idx="minor">
          <a:schemeClr val="tx1"/>
        </a:fontRef>
      </xdr:style>
    </xdr:cxnSp>
    <xdr:clientData/>
  </xdr:twoCellAnchor>
  <xdr:twoCellAnchor>
    <xdr:from>
      <xdr:col>24</xdr:col>
      <xdr:colOff>8659</xdr:colOff>
      <xdr:row>19</xdr:row>
      <xdr:rowOff>95250</xdr:rowOff>
    </xdr:from>
    <xdr:to>
      <xdr:col>26</xdr:col>
      <xdr:colOff>207818</xdr:colOff>
      <xdr:row>37</xdr:row>
      <xdr:rowOff>181840</xdr:rowOff>
    </xdr:to>
    <xdr:cxnSp macro="">
      <xdr:nvCxnSpPr>
        <xdr:cNvPr id="16" name="Conector recto de flecha 15">
          <a:extLst>
            <a:ext uri="{FF2B5EF4-FFF2-40B4-BE49-F238E27FC236}">
              <a16:creationId xmlns:a16="http://schemas.microsoft.com/office/drawing/2014/main" id="{00000000-0008-0000-0400-000010000000}"/>
            </a:ext>
          </a:extLst>
        </xdr:cNvPr>
        <xdr:cNvCxnSpPr/>
      </xdr:nvCxnSpPr>
      <xdr:spPr>
        <a:xfrm flipV="1">
          <a:off x="18738273" y="3203864"/>
          <a:ext cx="2329295" cy="3697431"/>
        </a:xfrm>
        <a:prstGeom prst="straightConnector1">
          <a:avLst/>
        </a:prstGeom>
        <a:ln w="6350">
          <a:headEnd type="oval" w="sm" len="sm"/>
          <a:tailEnd type="oval" w="sm" len="sm"/>
        </a:ln>
      </xdr:spPr>
      <xdr:style>
        <a:lnRef idx="2">
          <a:schemeClr val="dk1"/>
        </a:lnRef>
        <a:fillRef idx="0">
          <a:schemeClr val="dk1"/>
        </a:fillRef>
        <a:effectRef idx="1">
          <a:schemeClr val="dk1"/>
        </a:effectRef>
        <a:fontRef idx="minor">
          <a:schemeClr val="tx1"/>
        </a:fontRef>
      </xdr:style>
    </xdr:cxnSp>
    <xdr:clientData/>
  </xdr:twoCellAnchor>
  <xdr:twoCellAnchor>
    <xdr:from>
      <xdr:col>16</xdr:col>
      <xdr:colOff>69273</xdr:colOff>
      <xdr:row>17</xdr:row>
      <xdr:rowOff>18088</xdr:rowOff>
    </xdr:from>
    <xdr:to>
      <xdr:col>17</xdr:col>
      <xdr:colOff>320387</xdr:colOff>
      <xdr:row>20</xdr:row>
      <xdr:rowOff>201332</xdr:rowOff>
    </xdr:to>
    <xdr:pic>
      <xdr:nvPicPr>
        <xdr:cNvPr id="3" name="Imagen 2">
          <a:extLst>
            <a:ext uri="{FF2B5EF4-FFF2-40B4-BE49-F238E27FC236}">
              <a16:creationId xmlns:a16="http://schemas.microsoft.com/office/drawing/2014/main" id="{7310B0A9-0A8B-91EF-E384-256C5609751B}"/>
            </a:ext>
          </a:extLst>
        </xdr:cNvPr>
        <xdr:cNvPicPr>
          <a:picLocks noChangeAspect="1"/>
        </xdr:cNvPicPr>
      </xdr:nvPicPr>
      <xdr:blipFill>
        <a:blip xmlns:r="http://schemas.openxmlformats.org/officeDocument/2006/relationships" r:embed="rId2"/>
        <a:stretch>
          <a:fillRect/>
        </a:stretch>
      </xdr:blipFill>
      <xdr:spPr>
        <a:xfrm>
          <a:off x="14694478" y="3221952"/>
          <a:ext cx="1013114" cy="910607"/>
        </a:xfrm>
        <a:prstGeom prst="rect">
          <a:avLst/>
        </a:prstGeom>
      </xdr:spPr>
    </xdr:pic>
    <xdr:clientData/>
  </xdr:twoCellAnchor>
  <xdr:twoCellAnchor editAs="oneCell">
    <xdr:from>
      <xdr:col>8</xdr:col>
      <xdr:colOff>452925</xdr:colOff>
      <xdr:row>17</xdr:row>
      <xdr:rowOff>103910</xdr:rowOff>
    </xdr:from>
    <xdr:to>
      <xdr:col>8</xdr:col>
      <xdr:colOff>1207767</xdr:colOff>
      <xdr:row>20</xdr:row>
      <xdr:rowOff>181841</xdr:rowOff>
    </xdr:to>
    <xdr:pic>
      <xdr:nvPicPr>
        <xdr:cNvPr id="6" name="Imagen 5">
          <a:extLst>
            <a:ext uri="{FF2B5EF4-FFF2-40B4-BE49-F238E27FC236}">
              <a16:creationId xmlns:a16="http://schemas.microsoft.com/office/drawing/2014/main" id="{963D8E40-7B5B-4B76-2ACB-446B4BC70D0E}"/>
            </a:ext>
          </a:extLst>
        </xdr:cNvPr>
        <xdr:cNvPicPr>
          <a:picLocks noChangeAspect="1"/>
        </xdr:cNvPicPr>
      </xdr:nvPicPr>
      <xdr:blipFill>
        <a:blip xmlns:r="http://schemas.openxmlformats.org/officeDocument/2006/relationships" r:embed="rId3"/>
        <a:srcRect l="11709" r="18302"/>
        <a:stretch>
          <a:fillRect/>
        </a:stretch>
      </xdr:blipFill>
      <xdr:spPr>
        <a:xfrm>
          <a:off x="7665948" y="3307774"/>
          <a:ext cx="754842" cy="805294"/>
        </a:xfrm>
        <a:prstGeom prst="rect">
          <a:avLst/>
        </a:prstGeom>
      </xdr:spPr>
    </xdr:pic>
    <xdr:clientData/>
  </xdr:twoCellAnchor>
  <xdr:twoCellAnchor>
    <xdr:from>
      <xdr:col>8</xdr:col>
      <xdr:colOff>51954</xdr:colOff>
      <xdr:row>20</xdr:row>
      <xdr:rowOff>199160</xdr:rowOff>
    </xdr:from>
    <xdr:to>
      <xdr:col>10</xdr:col>
      <xdr:colOff>37359</xdr:colOff>
      <xdr:row>23</xdr:row>
      <xdr:rowOff>6592</xdr:rowOff>
    </xdr:to>
    <xdr:sp macro="" textlink="">
      <xdr:nvSpPr>
        <xdr:cNvPr id="10" name="CuadroTexto 48">
          <a:extLst>
            <a:ext uri="{FF2B5EF4-FFF2-40B4-BE49-F238E27FC236}">
              <a16:creationId xmlns:a16="http://schemas.microsoft.com/office/drawing/2014/main" id="{6BC5675A-793A-9638-15CD-29AABDF8B034}"/>
            </a:ext>
          </a:extLst>
        </xdr:cNvPr>
        <xdr:cNvSpPr txBox="1"/>
      </xdr:nvSpPr>
      <xdr:spPr>
        <a:xfrm>
          <a:off x="7264977" y="4130387"/>
          <a:ext cx="1457450" cy="430887"/>
        </a:xfrm>
        <a:prstGeom prst="rect">
          <a:avLst/>
        </a:prstGeom>
        <a:noFill/>
      </xdr:spPr>
      <xdr:txBody>
        <a:bodyPr wrap="square" rtlCol="0">
          <a:spAutoFit/>
        </a:bodyP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L" sz="1100" b="1"/>
            <a:t>SUSAN</a:t>
          </a:r>
        </a:p>
        <a:p>
          <a:r>
            <a:rPr lang="es-CL" sz="1100" b="1"/>
            <a:t>PERSONA NATURAL</a:t>
          </a:r>
        </a:p>
      </xdr:txBody>
    </xdr:sp>
    <xdr:clientData/>
  </xdr:twoCellAnchor>
  <xdr:twoCellAnchor editAs="oneCell">
    <xdr:from>
      <xdr:col>15</xdr:col>
      <xdr:colOff>60614</xdr:colOff>
      <xdr:row>17</xdr:row>
      <xdr:rowOff>69273</xdr:rowOff>
    </xdr:from>
    <xdr:to>
      <xdr:col>15</xdr:col>
      <xdr:colOff>802625</xdr:colOff>
      <xdr:row>20</xdr:row>
      <xdr:rowOff>160952</xdr:rowOff>
    </xdr:to>
    <xdr:pic>
      <xdr:nvPicPr>
        <xdr:cNvPr id="11" name="Imagen 10">
          <a:extLst>
            <a:ext uri="{FF2B5EF4-FFF2-40B4-BE49-F238E27FC236}">
              <a16:creationId xmlns:a16="http://schemas.microsoft.com/office/drawing/2014/main" id="{1881199D-683F-7371-C5CF-396B852ED94B}"/>
            </a:ext>
          </a:extLst>
        </xdr:cNvPr>
        <xdr:cNvPicPr>
          <a:picLocks noChangeAspect="1"/>
        </xdr:cNvPicPr>
      </xdr:nvPicPr>
      <xdr:blipFill>
        <a:blip xmlns:r="http://schemas.openxmlformats.org/officeDocument/2006/relationships" r:embed="rId4"/>
        <a:srcRect l="13130" r="19226"/>
        <a:stretch>
          <a:fillRect/>
        </a:stretch>
      </xdr:blipFill>
      <xdr:spPr>
        <a:xfrm>
          <a:off x="13707341" y="3273137"/>
          <a:ext cx="742011" cy="8190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30033</xdr:colOff>
      <xdr:row>3</xdr:row>
      <xdr:rowOff>150484</xdr:rowOff>
    </xdr:from>
    <xdr:to>
      <xdr:col>15</xdr:col>
      <xdr:colOff>48799</xdr:colOff>
      <xdr:row>22</xdr:row>
      <xdr:rowOff>6349</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30033" y="721984"/>
          <a:ext cx="11448766" cy="4307215"/>
        </a:xfrm>
        <a:prstGeom prst="rect">
          <a:avLst/>
        </a:prstGeom>
      </xdr:spPr>
    </xdr:pic>
    <xdr:clientData/>
  </xdr:twoCellAnchor>
  <xdr:twoCellAnchor>
    <xdr:from>
      <xdr:col>14</xdr:col>
      <xdr:colOff>139700</xdr:colOff>
      <xdr:row>10</xdr:row>
      <xdr:rowOff>76200</xdr:rowOff>
    </xdr:from>
    <xdr:to>
      <xdr:col>14</xdr:col>
      <xdr:colOff>647700</xdr:colOff>
      <xdr:row>11</xdr:row>
      <xdr:rowOff>12700</xdr:rowOff>
    </xdr:to>
    <xdr:sp macro="" textlink="">
      <xdr:nvSpPr>
        <xdr:cNvPr id="3" name="Flecha: a la derecha 2">
          <a:extLst>
            <a:ext uri="{FF2B5EF4-FFF2-40B4-BE49-F238E27FC236}">
              <a16:creationId xmlns:a16="http://schemas.microsoft.com/office/drawing/2014/main" id="{DA6EDF9C-EE8E-7964-7098-D0EE70DD0A44}"/>
            </a:ext>
          </a:extLst>
        </xdr:cNvPr>
        <xdr:cNvSpPr/>
      </xdr:nvSpPr>
      <xdr:spPr>
        <a:xfrm>
          <a:off x="10807700" y="2495550"/>
          <a:ext cx="508000" cy="29845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ii.cl/valores_y_fechas/utm/utm2025.htm" TargetMode="External"/><Relationship Id="rId1" Type="http://schemas.openxmlformats.org/officeDocument/2006/relationships/hyperlink" Target="https://www.sii.cl/valores_y_fechas/correccion_monetaria/correccion2025.ht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FA7DC-CDCE-493A-8858-F4693292E76C}">
  <dimension ref="C12:O25"/>
  <sheetViews>
    <sheetView zoomScale="120" zoomScaleNormal="120" workbookViewId="0">
      <selection activeCell="K28" sqref="K28"/>
    </sheetView>
  </sheetViews>
  <sheetFormatPr baseColWidth="10" defaultRowHeight="15" x14ac:dyDescent="0.25"/>
  <cols>
    <col min="1" max="2" width="11.42578125" style="1"/>
    <col min="3" max="3" width="12.140625" style="1" bestFit="1" customWidth="1"/>
    <col min="4" max="4" width="10.5703125" style="1" customWidth="1"/>
    <col min="5" max="5" width="10" style="1" customWidth="1"/>
    <col min="6" max="6" width="9.85546875" style="1" customWidth="1"/>
    <col min="7" max="7" width="10.42578125" style="1" bestFit="1" customWidth="1"/>
    <col min="8" max="8" width="5.5703125" style="1" customWidth="1"/>
    <col min="9" max="9" width="11.42578125" style="1" bestFit="1" customWidth="1"/>
    <col min="10" max="10" width="1.7109375" style="1" customWidth="1"/>
    <col min="11" max="11" width="17.7109375" style="1" bestFit="1" customWidth="1"/>
    <col min="12" max="12" width="2.85546875" style="1" customWidth="1"/>
    <col min="13" max="13" width="18.5703125" style="1" bestFit="1" customWidth="1"/>
    <col min="14" max="14" width="3.7109375" style="1" customWidth="1"/>
    <col min="15" max="15" width="17.7109375" style="1" bestFit="1" customWidth="1"/>
    <col min="16" max="16384" width="11.42578125" style="1"/>
  </cols>
  <sheetData>
    <row r="12" spans="3:15" x14ac:dyDescent="0.25">
      <c r="K12" s="1" t="s">
        <v>23</v>
      </c>
      <c r="M12" s="1" t="s">
        <v>22</v>
      </c>
    </row>
    <row r="13" spans="3:15" ht="21" customHeight="1" x14ac:dyDescent="0.25">
      <c r="D13" s="35" t="s">
        <v>3</v>
      </c>
      <c r="E13" s="35" t="s">
        <v>5</v>
      </c>
      <c r="F13" s="35" t="s">
        <v>6</v>
      </c>
      <c r="G13" s="35" t="s">
        <v>7</v>
      </c>
      <c r="K13" s="39" t="s">
        <v>28</v>
      </c>
      <c r="L13" s="39"/>
      <c r="M13" s="39" t="s">
        <v>15</v>
      </c>
      <c r="N13" s="39"/>
      <c r="O13" s="39" t="s">
        <v>14</v>
      </c>
    </row>
    <row r="14" spans="3:15" ht="21" customHeight="1" x14ac:dyDescent="0.25">
      <c r="C14" s="30"/>
      <c r="D14" s="32">
        <v>0</v>
      </c>
      <c r="E14" s="33">
        <v>0</v>
      </c>
      <c r="F14" s="32">
        <v>0</v>
      </c>
      <c r="G14" s="34"/>
      <c r="L14" s="31"/>
    </row>
    <row r="15" spans="3:15" ht="21" customHeight="1" x14ac:dyDescent="0.25">
      <c r="C15" s="30"/>
      <c r="D15" s="32">
        <v>8.2666989999999991</v>
      </c>
      <c r="E15" s="33">
        <v>0.04</v>
      </c>
      <c r="F15" s="32">
        <v>0.33066792000000006</v>
      </c>
      <c r="G15" s="34"/>
      <c r="I15" s="3" t="s">
        <v>16</v>
      </c>
      <c r="J15" s="3"/>
      <c r="K15" s="3" t="s">
        <v>18</v>
      </c>
      <c r="L15" s="31"/>
      <c r="M15" s="3" t="s">
        <v>18</v>
      </c>
      <c r="O15" s="3" t="s">
        <v>18</v>
      </c>
    </row>
    <row r="16" spans="3:15" ht="21" customHeight="1" thickBot="1" x14ac:dyDescent="0.3">
      <c r="C16" s="30"/>
      <c r="D16" s="32">
        <v>18.370441</v>
      </c>
      <c r="E16" s="33">
        <v>0.08</v>
      </c>
      <c r="F16" s="32">
        <v>1.06548552</v>
      </c>
      <c r="G16" s="34"/>
      <c r="I16" s="3" t="s">
        <v>17</v>
      </c>
      <c r="J16" s="3"/>
      <c r="K16" s="36" t="s">
        <v>19</v>
      </c>
      <c r="L16" s="31"/>
      <c r="M16" s="36" t="s">
        <v>19</v>
      </c>
      <c r="O16" s="36" t="s">
        <v>19</v>
      </c>
    </row>
    <row r="17" spans="3:15" ht="21" customHeight="1" thickTop="1" x14ac:dyDescent="0.25">
      <c r="C17" s="30"/>
      <c r="D17" s="32">
        <v>30.617401000000001</v>
      </c>
      <c r="E17" s="33">
        <v>0.13500000000000001</v>
      </c>
      <c r="F17" s="32">
        <v>2.7494425200000001</v>
      </c>
      <c r="G17" s="34"/>
      <c r="I17" s="3" t="s">
        <v>21</v>
      </c>
      <c r="K17" s="38">
        <v>100000000</v>
      </c>
      <c r="L17" s="31"/>
      <c r="M17" s="38">
        <v>100000000</v>
      </c>
      <c r="O17" s="38">
        <v>100000000</v>
      </c>
    </row>
    <row r="18" spans="3:15" ht="21" customHeight="1" x14ac:dyDescent="0.25">
      <c r="C18" s="30"/>
      <c r="D18" s="32">
        <v>42.864361000000002</v>
      </c>
      <c r="E18" s="33">
        <v>0.23</v>
      </c>
      <c r="F18" s="32">
        <v>6.8215567200000002</v>
      </c>
      <c r="G18" s="34"/>
      <c r="L18" s="31"/>
    </row>
    <row r="19" spans="3:15" ht="21" customHeight="1" x14ac:dyDescent="0.25">
      <c r="C19" s="30"/>
      <c r="D19" s="32">
        <v>55.111320999999997</v>
      </c>
      <c r="E19" s="33">
        <v>0.30399999999999999</v>
      </c>
      <c r="F19" s="32">
        <v>10.899794400000001</v>
      </c>
      <c r="G19" s="34"/>
      <c r="L19" s="31"/>
    </row>
    <row r="20" spans="3:15" ht="21" customHeight="1" x14ac:dyDescent="0.25">
      <c r="C20" s="30"/>
      <c r="D20" s="32">
        <v>73.481761000000006</v>
      </c>
      <c r="E20" s="33">
        <v>0.35</v>
      </c>
      <c r="F20" s="32">
        <v>14.279955359999999</v>
      </c>
      <c r="G20" s="34"/>
      <c r="I20" s="3" t="s">
        <v>24</v>
      </c>
      <c r="K20" s="37">
        <v>0</v>
      </c>
      <c r="L20" s="31"/>
      <c r="M20" s="37">
        <v>0.25</v>
      </c>
      <c r="O20" s="37">
        <v>0.27</v>
      </c>
    </row>
    <row r="21" spans="3:15" ht="21" customHeight="1" x14ac:dyDescent="0.25">
      <c r="C21" s="30"/>
      <c r="D21" s="32">
        <v>189.82788099999999</v>
      </c>
      <c r="E21" s="33">
        <v>0.4</v>
      </c>
      <c r="F21" s="32">
        <v>23.771349359999999</v>
      </c>
      <c r="G21" s="34"/>
      <c r="I21" s="3" t="s">
        <v>27</v>
      </c>
      <c r="K21" s="1">
        <f>+K17*K20</f>
        <v>0</v>
      </c>
      <c r="L21" s="31"/>
      <c r="M21" s="23">
        <f>+M17*M20</f>
        <v>25000000</v>
      </c>
      <c r="N21" s="23"/>
      <c r="O21" s="23">
        <f>+O17*O20</f>
        <v>27000000</v>
      </c>
    </row>
    <row r="22" spans="3:15" x14ac:dyDescent="0.25">
      <c r="O22" s="23">
        <f>O21*0.65</f>
        <v>17550000</v>
      </c>
    </row>
    <row r="23" spans="3:15" x14ac:dyDescent="0.25">
      <c r="F23" s="3" t="s">
        <v>7</v>
      </c>
      <c r="G23" s="3" t="s">
        <v>19</v>
      </c>
    </row>
    <row r="24" spans="3:15" x14ac:dyDescent="0.25">
      <c r="F24" s="3" t="s">
        <v>25</v>
      </c>
      <c r="G24" s="3" t="s">
        <v>20</v>
      </c>
    </row>
    <row r="25" spans="3:15" x14ac:dyDescent="0.25">
      <c r="F25" s="3" t="s">
        <v>26</v>
      </c>
      <c r="G25" s="3" t="s">
        <v>29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1FB3A-E918-4F86-9073-0F1DE531685F}">
  <dimension ref="B1:AC74"/>
  <sheetViews>
    <sheetView tabSelected="1" topLeftCell="A4" zoomScale="110" zoomScaleNormal="110" workbookViewId="0">
      <selection activeCell="D9" sqref="D9"/>
    </sheetView>
  </sheetViews>
  <sheetFormatPr baseColWidth="10" defaultRowHeight="15" x14ac:dyDescent="0.25"/>
  <cols>
    <col min="1" max="1" width="1.28515625" style="1" customWidth="1"/>
    <col min="2" max="2" width="10.140625" style="1" customWidth="1"/>
    <col min="3" max="3" width="20.140625" style="1" customWidth="1"/>
    <col min="4" max="4" width="16" style="1" customWidth="1"/>
    <col min="5" max="5" width="10.140625" style="1" customWidth="1"/>
    <col min="6" max="6" width="15.85546875" style="1" customWidth="1"/>
    <col min="7" max="7" width="18.85546875" style="1" customWidth="1"/>
    <col min="8" max="8" width="15.85546875" style="1" customWidth="1"/>
    <col min="9" max="9" width="20.7109375" style="1" customWidth="1"/>
    <col min="10" max="10" width="1.28515625" style="1" customWidth="1"/>
    <col min="11" max="11" width="2.85546875" style="1" customWidth="1"/>
    <col min="12" max="12" width="18.5703125" style="1" bestFit="1" customWidth="1"/>
    <col min="13" max="13" width="26.140625" style="1" customWidth="1"/>
    <col min="14" max="14" width="16.85546875" style="1" customWidth="1"/>
    <col min="15" max="15" width="10" style="1" customWidth="1"/>
    <col min="16" max="16" width="14.7109375" style="1" customWidth="1"/>
    <col min="17" max="19" width="11.42578125" style="1"/>
    <col min="20" max="20" width="5.5703125" style="1" customWidth="1"/>
    <col min="21" max="22" width="2.140625" style="1" customWidth="1"/>
    <col min="23" max="26" width="16" style="1" customWidth="1"/>
    <col min="27" max="27" width="17.85546875" style="1" customWidth="1"/>
    <col min="28" max="28" width="4.7109375" style="1" customWidth="1"/>
    <col min="29" max="29" width="1.42578125" style="1" customWidth="1"/>
    <col min="30" max="16384" width="11.42578125" style="1"/>
  </cols>
  <sheetData>
    <row r="1" spans="2:21" x14ac:dyDescent="0.25">
      <c r="B1" s="1" t="s">
        <v>39</v>
      </c>
      <c r="D1" s="51">
        <v>10</v>
      </c>
      <c r="E1" s="1" t="s">
        <v>91</v>
      </c>
    </row>
    <row r="2" spans="2:21" x14ac:dyDescent="0.25">
      <c r="B2" s="1" t="s">
        <v>42</v>
      </c>
      <c r="D2" s="51">
        <v>70000000</v>
      </c>
    </row>
    <row r="3" spans="2:21" x14ac:dyDescent="0.25">
      <c r="B3" s="1" t="s">
        <v>40</v>
      </c>
      <c r="D3" s="51">
        <f>D2*0.5/100</f>
        <v>350000</v>
      </c>
      <c r="Q3" s="37"/>
      <c r="R3" s="37"/>
      <c r="S3" s="37"/>
    </row>
    <row r="4" spans="2:21" x14ac:dyDescent="0.25">
      <c r="B4" s="1" t="s">
        <v>46</v>
      </c>
      <c r="D4" s="51">
        <v>250000</v>
      </c>
      <c r="Q4" s="37"/>
      <c r="R4" s="37"/>
      <c r="S4" s="37"/>
    </row>
    <row r="5" spans="2:21" x14ac:dyDescent="0.25">
      <c r="B5" s="1" t="s">
        <v>94</v>
      </c>
      <c r="D5" s="23">
        <f>(D2*0.8)/L34*D1</f>
        <v>35000000</v>
      </c>
    </row>
    <row r="6" spans="2:21" x14ac:dyDescent="0.25">
      <c r="B6" s="1" t="s">
        <v>47</v>
      </c>
      <c r="D6" s="23">
        <f>+D3*D1*12</f>
        <v>42000000</v>
      </c>
      <c r="F6" s="63" t="s">
        <v>45</v>
      </c>
      <c r="G6" s="63" t="s">
        <v>41</v>
      </c>
      <c r="H6" s="63" t="s">
        <v>52</v>
      </c>
    </row>
    <row r="7" spans="2:21" x14ac:dyDescent="0.25">
      <c r="B7" s="1" t="s">
        <v>51</v>
      </c>
      <c r="D7" s="23">
        <f>D4*12*D1</f>
        <v>30000000</v>
      </c>
      <c r="F7" s="62">
        <f>D7*51%</f>
        <v>15300000</v>
      </c>
      <c r="G7" s="62">
        <f>D7*43%</f>
        <v>12900000</v>
      </c>
      <c r="H7" s="62">
        <f>D7*6%</f>
        <v>1800000</v>
      </c>
    </row>
    <row r="8" spans="2:21" x14ac:dyDescent="0.25">
      <c r="B8" s="1" t="s">
        <v>55</v>
      </c>
      <c r="D8" s="23">
        <f>70000*D1</f>
        <v>700000</v>
      </c>
      <c r="L8" s="23"/>
      <c r="M8" s="23"/>
      <c r="N8" s="23"/>
      <c r="O8" s="23"/>
      <c r="P8" s="23"/>
      <c r="Q8" s="23"/>
      <c r="R8" s="23"/>
      <c r="S8" s="23"/>
      <c r="T8" s="23"/>
      <c r="U8" s="23"/>
    </row>
    <row r="9" spans="2:21" x14ac:dyDescent="0.25">
      <c r="B9" s="78" t="s">
        <v>58</v>
      </c>
      <c r="C9" s="79"/>
      <c r="D9" s="80">
        <f>D6</f>
        <v>42000000</v>
      </c>
      <c r="M9" s="23"/>
      <c r="N9" s="23"/>
      <c r="O9" s="23"/>
      <c r="P9" s="23"/>
      <c r="Q9" s="23"/>
      <c r="R9" s="23"/>
      <c r="S9" s="23"/>
      <c r="T9" s="23"/>
      <c r="U9" s="23"/>
    </row>
    <row r="10" spans="2:21" x14ac:dyDescent="0.25">
      <c r="B10" s="81" t="s">
        <v>103</v>
      </c>
      <c r="D10" s="82">
        <v>0</v>
      </c>
      <c r="E10" s="1" t="s">
        <v>104</v>
      </c>
      <c r="M10" s="23"/>
      <c r="N10" s="23"/>
      <c r="O10" s="23"/>
      <c r="P10" s="23"/>
      <c r="Q10" s="23"/>
      <c r="R10" s="23"/>
      <c r="S10" s="23"/>
      <c r="T10" s="23"/>
      <c r="U10" s="23"/>
    </row>
    <row r="11" spans="2:21" x14ac:dyDescent="0.25">
      <c r="B11" s="81" t="s">
        <v>43</v>
      </c>
      <c r="D11" s="82">
        <v>50000000</v>
      </c>
      <c r="G11" s="85"/>
      <c r="O11" s="23"/>
      <c r="P11" s="23"/>
      <c r="Q11" s="23"/>
      <c r="R11" s="23"/>
      <c r="S11" s="23"/>
      <c r="T11" s="23"/>
      <c r="U11" s="23"/>
    </row>
    <row r="12" spans="2:21" x14ac:dyDescent="0.25">
      <c r="B12" s="81" t="s">
        <v>102</v>
      </c>
      <c r="D12" s="82">
        <v>35000000</v>
      </c>
      <c r="E12" s="77">
        <v>0.27</v>
      </c>
      <c r="F12" s="23">
        <f>D12*E12</f>
        <v>9450000</v>
      </c>
      <c r="G12" s="77">
        <v>0.65</v>
      </c>
      <c r="H12" s="89">
        <f>F12*G12</f>
        <v>6142500</v>
      </c>
      <c r="O12" s="23"/>
      <c r="P12" s="23"/>
      <c r="Q12" s="23"/>
      <c r="R12" s="23"/>
      <c r="S12" s="23"/>
      <c r="T12" s="23"/>
      <c r="U12" s="23"/>
    </row>
    <row r="13" spans="2:21" ht="18.75" customHeight="1" x14ac:dyDescent="0.25">
      <c r="B13" s="83" t="s">
        <v>44</v>
      </c>
      <c r="C13" s="75"/>
      <c r="D13" s="84">
        <v>40000000</v>
      </c>
      <c r="E13" s="61">
        <v>0.14499999999999999</v>
      </c>
      <c r="F13" s="89">
        <f>D13*E13</f>
        <v>5800000</v>
      </c>
      <c r="G13" s="1" t="s">
        <v>98</v>
      </c>
      <c r="O13" s="23"/>
      <c r="P13" s="23"/>
      <c r="Q13" s="23"/>
      <c r="R13" s="23"/>
      <c r="S13" s="23"/>
      <c r="T13" s="23"/>
      <c r="U13" s="23"/>
    </row>
    <row r="14" spans="2:21" ht="18.75" customHeight="1" x14ac:dyDescent="0.25">
      <c r="C14" s="3" t="s">
        <v>12</v>
      </c>
      <c r="D14" s="23">
        <f>SUM(D9:D13)</f>
        <v>167000000</v>
      </c>
      <c r="E14" s="61"/>
      <c r="F14" s="23"/>
      <c r="O14" s="23"/>
      <c r="P14" s="23"/>
      <c r="Q14" s="23"/>
      <c r="R14" s="23"/>
      <c r="S14" s="23"/>
      <c r="T14" s="23"/>
      <c r="U14" s="23"/>
    </row>
    <row r="15" spans="2:21" ht="6.75" customHeight="1" x14ac:dyDescent="0.25">
      <c r="D15" s="23"/>
      <c r="E15" s="61"/>
      <c r="F15" s="23"/>
      <c r="O15" s="23"/>
      <c r="P15" s="23"/>
      <c r="Q15" s="23"/>
      <c r="R15" s="23"/>
      <c r="S15" s="23"/>
      <c r="T15" s="23"/>
      <c r="U15" s="23"/>
    </row>
    <row r="16" spans="2:21" ht="18.75" customHeight="1" x14ac:dyDescent="0.25">
      <c r="B16" s="1" t="s">
        <v>112</v>
      </c>
      <c r="C16" s="72" t="s">
        <v>113</v>
      </c>
      <c r="D16" s="51">
        <v>834504</v>
      </c>
      <c r="E16" s="70">
        <f>IF(AND(H19&gt;90,H19&lt;=150),250-(1.667*H19),100)/100</f>
        <v>1</v>
      </c>
      <c r="O16" s="23"/>
      <c r="P16" s="23"/>
      <c r="Q16" s="23"/>
      <c r="R16" s="23"/>
      <c r="S16" s="23"/>
      <c r="T16" s="23"/>
      <c r="U16" s="23"/>
    </row>
    <row r="17" spans="2:29" ht="8.25" customHeight="1" x14ac:dyDescent="0.25">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row>
    <row r="18" spans="2:29" ht="26.25" x14ac:dyDescent="0.4">
      <c r="C18" s="67" t="s">
        <v>84</v>
      </c>
      <c r="J18" s="68"/>
      <c r="L18" s="67" t="s">
        <v>89</v>
      </c>
      <c r="O18" s="23"/>
      <c r="P18" s="23"/>
      <c r="Q18" s="23"/>
      <c r="R18" s="23"/>
      <c r="S18" s="23"/>
      <c r="T18" s="23"/>
      <c r="U18" s="40"/>
      <c r="W18" s="1" t="str">
        <f>C19</f>
        <v>UTM Dic 2025</v>
      </c>
      <c r="X18" s="41">
        <f>D19</f>
        <v>69542</v>
      </c>
      <c r="Z18" s="3"/>
      <c r="AA18" s="4"/>
      <c r="AB18" s="4"/>
      <c r="AC18" s="42"/>
    </row>
    <row r="19" spans="2:29" x14ac:dyDescent="0.25">
      <c r="C19" s="1" t="s">
        <v>115</v>
      </c>
      <c r="D19" s="51">
        <v>69542</v>
      </c>
      <c r="F19" s="3" t="s">
        <v>12</v>
      </c>
      <c r="G19" s="4">
        <f>D14</f>
        <v>167000000</v>
      </c>
      <c r="H19" s="69">
        <f>G19/D16</f>
        <v>200.11887300719948</v>
      </c>
      <c r="J19" s="68"/>
      <c r="L19" s="28" t="s">
        <v>49</v>
      </c>
      <c r="M19" s="23"/>
      <c r="N19" s="23"/>
      <c r="O19" s="23"/>
      <c r="P19" s="23"/>
      <c r="Q19" s="23"/>
      <c r="R19" s="23"/>
      <c r="S19" s="23"/>
      <c r="T19" s="23"/>
      <c r="U19" s="40"/>
      <c r="W19" s="5" t="s">
        <v>0</v>
      </c>
      <c r="X19" s="4"/>
      <c r="Z19" s="3"/>
      <c r="AA19" s="6"/>
      <c r="AB19" s="4"/>
      <c r="AC19" s="42"/>
    </row>
    <row r="20" spans="2:29" ht="15.75" thickBot="1" x14ac:dyDescent="0.3">
      <c r="C20" s="5" t="s">
        <v>0</v>
      </c>
      <c r="D20" s="30"/>
      <c r="F20" s="3"/>
      <c r="G20" s="4">
        <f>IF(G19&gt;D16*150,0,IF(G7&gt;D16*8,D16*8*E16,G7))*-1</f>
        <v>0</v>
      </c>
      <c r="H20" s="1" t="s">
        <v>88</v>
      </c>
      <c r="J20" s="68"/>
      <c r="L20" s="28"/>
      <c r="M20" s="23" t="s">
        <v>50</v>
      </c>
      <c r="N20" s="64">
        <f>D6</f>
        <v>42000000</v>
      </c>
      <c r="O20" s="23"/>
      <c r="P20" s="23"/>
      <c r="Q20" s="23"/>
      <c r="R20" s="23"/>
      <c r="S20" s="23"/>
      <c r="T20" s="23"/>
      <c r="U20" s="40"/>
      <c r="Z20" s="3" t="s">
        <v>1</v>
      </c>
      <c r="AA20" s="7">
        <f>IF(X39&lt;1,0,X39)</f>
        <v>0</v>
      </c>
      <c r="AB20" s="4"/>
      <c r="AC20" s="42"/>
    </row>
    <row r="21" spans="2:29" ht="17.25" thickTop="1" thickBot="1" x14ac:dyDescent="0.3">
      <c r="F21" s="3" t="s">
        <v>13</v>
      </c>
      <c r="G21" s="7">
        <f>G19+G20</f>
        <v>167000000</v>
      </c>
      <c r="H21" s="4"/>
      <c r="J21" s="68"/>
      <c r="L21" s="28"/>
      <c r="M21" s="23"/>
      <c r="N21" s="23">
        <f>SUM(N20)</f>
        <v>42000000</v>
      </c>
      <c r="O21" s="23"/>
      <c r="P21" s="23"/>
      <c r="Q21" s="23"/>
      <c r="R21" s="23"/>
      <c r="S21" s="23"/>
      <c r="T21" s="23"/>
      <c r="U21" s="40"/>
      <c r="W21" s="43" t="s">
        <v>2</v>
      </c>
      <c r="X21" s="44"/>
      <c r="Y21" s="45"/>
      <c r="Z21" s="44"/>
      <c r="AA21" s="46"/>
      <c r="AB21" s="23"/>
      <c r="AC21" s="47"/>
    </row>
    <row r="22" spans="2:29" ht="16.5" thickBot="1" x14ac:dyDescent="0.3">
      <c r="C22" s="96" t="s">
        <v>2</v>
      </c>
      <c r="D22" s="97"/>
      <c r="E22" s="97"/>
      <c r="F22" s="97"/>
      <c r="G22" s="98"/>
      <c r="H22" s="4"/>
      <c r="J22" s="68"/>
      <c r="L22" s="28" t="s">
        <v>48</v>
      </c>
      <c r="N22" s="23"/>
      <c r="O22" s="23"/>
      <c r="P22" s="23"/>
      <c r="Q22" s="23"/>
      <c r="R22" s="23"/>
      <c r="S22" s="23"/>
      <c r="T22" s="23"/>
      <c r="U22" s="40"/>
      <c r="W22" s="48" t="s">
        <v>3</v>
      </c>
      <c r="X22" s="48" t="s">
        <v>4</v>
      </c>
      <c r="Y22" s="48" t="s">
        <v>5</v>
      </c>
      <c r="Z22" s="48" t="s">
        <v>6</v>
      </c>
      <c r="AA22" s="48" t="s">
        <v>7</v>
      </c>
      <c r="AB22" s="23"/>
      <c r="AC22" s="47"/>
    </row>
    <row r="23" spans="2:29" ht="15.75" thickBot="1" x14ac:dyDescent="0.3">
      <c r="B23" s="1">
        <v>1</v>
      </c>
      <c r="C23" s="65" t="s">
        <v>3</v>
      </c>
      <c r="D23" s="65" t="s">
        <v>4</v>
      </c>
      <c r="E23" s="65" t="s">
        <v>5</v>
      </c>
      <c r="F23" s="65" t="s">
        <v>6</v>
      </c>
      <c r="G23" s="65" t="s">
        <v>7</v>
      </c>
      <c r="H23" s="4"/>
      <c r="I23" s="88"/>
      <c r="J23" s="68"/>
      <c r="L23" s="23"/>
      <c r="M23" s="23" t="s">
        <v>93</v>
      </c>
      <c r="N23" s="23">
        <f>70000+(D1+2*(D2))*O23/1000</f>
        <v>420000.02500000002</v>
      </c>
      <c r="O23" s="74">
        <v>2.5</v>
      </c>
      <c r="P23" s="71" t="str">
        <f>"("&amp;O23 &amp; " / 1,000 + $ 70.000)"</f>
        <v>(2,5 / 1,000 + $ 70.000)</v>
      </c>
      <c r="Q23" s="23"/>
      <c r="R23" s="23"/>
      <c r="S23" s="23"/>
      <c r="T23" s="23"/>
      <c r="U23" s="40"/>
      <c r="W23" s="8"/>
      <c r="X23" s="9">
        <f>162*X18</f>
        <v>11265804</v>
      </c>
      <c r="Y23" s="10" t="s">
        <v>8</v>
      </c>
      <c r="Z23" s="11"/>
      <c r="AA23" s="12">
        <f>IF(AA20&lt;=X23,0,0)</f>
        <v>0</v>
      </c>
      <c r="AB23" s="23"/>
      <c r="AC23" s="47"/>
    </row>
    <row r="24" spans="2:29" x14ac:dyDescent="0.25">
      <c r="B24" s="1">
        <v>2</v>
      </c>
      <c r="C24" s="8"/>
      <c r="D24" s="9">
        <f>162*D19</f>
        <v>11265804</v>
      </c>
      <c r="E24" s="10" t="s">
        <v>8</v>
      </c>
      <c r="F24" s="11"/>
      <c r="G24" s="12">
        <f>IF(G21&lt;=D24,0,0)</f>
        <v>0</v>
      </c>
      <c r="H24" s="23"/>
      <c r="J24" s="68"/>
      <c r="L24" s="23"/>
      <c r="M24" s="23" t="s">
        <v>41</v>
      </c>
      <c r="N24" s="23">
        <f>G7</f>
        <v>12900000</v>
      </c>
      <c r="O24" s="23"/>
      <c r="P24" s="23"/>
      <c r="Q24" s="23"/>
      <c r="R24" s="23"/>
      <c r="S24" s="23"/>
      <c r="T24" s="23"/>
      <c r="U24" s="40"/>
      <c r="W24" s="13">
        <f t="shared" ref="W24:W29" si="0">+X23+1</f>
        <v>11265805</v>
      </c>
      <c r="X24" s="14">
        <f>360*X18</f>
        <v>25035120</v>
      </c>
      <c r="Y24" s="15">
        <v>0.04</v>
      </c>
      <c r="Z24" s="16">
        <f>6.48*X18</f>
        <v>450632.16000000003</v>
      </c>
      <c r="AA24" s="17">
        <f t="shared" ref="AA24:AA29" si="1">IF(AND($AD$4&gt;=W24,$AD$4&lt;=X24),($AD$4*Y24)-Z24,0)</f>
        <v>0</v>
      </c>
      <c r="AB24" s="23"/>
      <c r="AC24" s="47"/>
    </row>
    <row r="25" spans="2:29" x14ac:dyDescent="0.25">
      <c r="B25" s="1">
        <v>3</v>
      </c>
      <c r="C25" s="13">
        <f t="shared" ref="C25:C30" si="2">+D24+1</f>
        <v>11265805</v>
      </c>
      <c r="D25" s="14">
        <f>360*D19</f>
        <v>25035120</v>
      </c>
      <c r="E25" s="15">
        <v>0.04</v>
      </c>
      <c r="F25" s="16">
        <f>6.48*D19</f>
        <v>450632.16000000003</v>
      </c>
      <c r="G25" s="17">
        <f t="shared" ref="G25:G30" si="3">IF(AND($G$21&gt;=C25,$G$21&lt;=D25),($G$21*E25)-F25,0)</f>
        <v>0</v>
      </c>
      <c r="J25" s="68"/>
      <c r="L25" s="23"/>
      <c r="M25" s="23" t="s">
        <v>52</v>
      </c>
      <c r="N25" s="23">
        <f>H7</f>
        <v>1800000</v>
      </c>
      <c r="O25" s="23"/>
      <c r="P25" s="23"/>
      <c r="Q25" s="23"/>
      <c r="R25" s="23"/>
      <c r="S25" s="23"/>
      <c r="T25" s="23"/>
      <c r="U25" s="40"/>
      <c r="W25" s="13">
        <f t="shared" si="0"/>
        <v>25035121</v>
      </c>
      <c r="X25" s="14">
        <f>600*X18</f>
        <v>41725200</v>
      </c>
      <c r="Y25" s="18">
        <v>0.08</v>
      </c>
      <c r="Z25" s="16">
        <f>20.88*X18</f>
        <v>1452036.96</v>
      </c>
      <c r="AA25" s="17">
        <f t="shared" si="1"/>
        <v>0</v>
      </c>
      <c r="AB25" s="23"/>
      <c r="AC25" s="47"/>
    </row>
    <row r="26" spans="2:29" x14ac:dyDescent="0.25">
      <c r="B26" s="1">
        <v>4</v>
      </c>
      <c r="C26" s="13">
        <f t="shared" si="2"/>
        <v>25035121</v>
      </c>
      <c r="D26" s="14">
        <f>600*D19</f>
        <v>41725200</v>
      </c>
      <c r="E26" s="18">
        <v>0.08</v>
      </c>
      <c r="F26" s="16">
        <f>20.88*D19</f>
        <v>1452036.96</v>
      </c>
      <c r="G26" s="17">
        <f t="shared" si="3"/>
        <v>0</v>
      </c>
      <c r="J26" s="68"/>
      <c r="L26" s="23"/>
      <c r="M26" s="23" t="s">
        <v>53</v>
      </c>
      <c r="N26" s="23">
        <f>D6*O26</f>
        <v>2100000</v>
      </c>
      <c r="O26" s="57">
        <v>0.05</v>
      </c>
      <c r="P26" s="23" t="s">
        <v>56</v>
      </c>
      <c r="U26" s="40"/>
      <c r="W26" s="13">
        <f t="shared" si="0"/>
        <v>41725201</v>
      </c>
      <c r="X26" s="14">
        <f>840*X18</f>
        <v>58415280</v>
      </c>
      <c r="Y26" s="15">
        <v>0.13500000000000001</v>
      </c>
      <c r="Z26" s="16">
        <f>53.88*X18</f>
        <v>3746922.96</v>
      </c>
      <c r="AA26" s="17">
        <f t="shared" si="1"/>
        <v>0</v>
      </c>
      <c r="AB26" s="23"/>
      <c r="AC26" s="47"/>
    </row>
    <row r="27" spans="2:29" x14ac:dyDescent="0.25">
      <c r="B27" s="1">
        <v>5</v>
      </c>
      <c r="C27" s="13">
        <f t="shared" si="2"/>
        <v>41725201</v>
      </c>
      <c r="D27" s="14">
        <f>840*D19</f>
        <v>58415280</v>
      </c>
      <c r="E27" s="15">
        <v>0.13500000000000001</v>
      </c>
      <c r="F27" s="16">
        <f>53.88*D19</f>
        <v>3746922.96</v>
      </c>
      <c r="G27" s="17">
        <f t="shared" si="3"/>
        <v>0</v>
      </c>
      <c r="J27" s="68"/>
      <c r="L27" s="23"/>
      <c r="M27" s="23" t="s">
        <v>54</v>
      </c>
      <c r="N27" s="23">
        <f>D6*O27</f>
        <v>4200000</v>
      </c>
      <c r="O27" s="57">
        <v>0.1</v>
      </c>
      <c r="P27" s="23" t="s">
        <v>57</v>
      </c>
      <c r="U27" s="40"/>
      <c r="W27" s="13">
        <f t="shared" si="0"/>
        <v>58415281</v>
      </c>
      <c r="X27" s="14">
        <f>1080*X18</f>
        <v>75105360</v>
      </c>
      <c r="Y27" s="15">
        <v>0.23</v>
      </c>
      <c r="Z27" s="16">
        <f>133.68*X18</f>
        <v>9296374.5600000005</v>
      </c>
      <c r="AA27" s="17">
        <f t="shared" si="1"/>
        <v>0</v>
      </c>
      <c r="AB27" s="23"/>
      <c r="AC27" s="47"/>
    </row>
    <row r="28" spans="2:29" x14ac:dyDescent="0.25">
      <c r="B28" s="1">
        <v>6</v>
      </c>
      <c r="C28" s="13">
        <f t="shared" si="2"/>
        <v>58415281</v>
      </c>
      <c r="D28" s="14">
        <f>1080*D19</f>
        <v>75105360</v>
      </c>
      <c r="E28" s="15">
        <v>0.23</v>
      </c>
      <c r="F28" s="16">
        <f>133.68*D19</f>
        <v>9296374.5600000005</v>
      </c>
      <c r="G28" s="17">
        <f t="shared" si="3"/>
        <v>0</v>
      </c>
      <c r="J28" s="68"/>
      <c r="M28" s="1" t="s">
        <v>55</v>
      </c>
      <c r="N28" s="23">
        <f>D8</f>
        <v>700000</v>
      </c>
      <c r="U28" s="40"/>
      <c r="W28" s="13">
        <f t="shared" si="0"/>
        <v>75105361</v>
      </c>
      <c r="X28" s="14">
        <f>1440*X18</f>
        <v>100140480</v>
      </c>
      <c r="Y28" s="15">
        <v>0.30399999999999999</v>
      </c>
      <c r="Z28" s="16">
        <f>213.6*X18</f>
        <v>14854171.199999999</v>
      </c>
      <c r="AA28" s="17">
        <f t="shared" si="1"/>
        <v>0</v>
      </c>
      <c r="AB28" s="23"/>
      <c r="AC28" s="47"/>
    </row>
    <row r="29" spans="2:29" ht="15.75" thickBot="1" x14ac:dyDescent="0.3">
      <c r="B29" s="1">
        <v>7</v>
      </c>
      <c r="C29" s="13">
        <f t="shared" si="2"/>
        <v>75105361</v>
      </c>
      <c r="D29" s="14">
        <f>1440*D19</f>
        <v>100140480</v>
      </c>
      <c r="E29" s="15">
        <v>0.30399999999999999</v>
      </c>
      <c r="F29" s="16">
        <f>213.6*D19</f>
        <v>14854171.199999999</v>
      </c>
      <c r="G29" s="17">
        <f t="shared" si="3"/>
        <v>0</v>
      </c>
      <c r="J29" s="68"/>
      <c r="M29" s="1" t="s">
        <v>108</v>
      </c>
      <c r="N29" s="64">
        <v>1200000</v>
      </c>
      <c r="U29" s="40"/>
      <c r="W29" s="13">
        <f t="shared" si="0"/>
        <v>100140481</v>
      </c>
      <c r="X29" s="14">
        <f>3720*X18</f>
        <v>258696240</v>
      </c>
      <c r="Y29" s="15">
        <v>0.35</v>
      </c>
      <c r="Z29" s="16">
        <f>279.84*X18</f>
        <v>19460633.279999997</v>
      </c>
      <c r="AA29" s="17">
        <f t="shared" si="1"/>
        <v>0</v>
      </c>
      <c r="AB29" s="23"/>
      <c r="AC29" s="47"/>
    </row>
    <row r="30" spans="2:29" ht="16.5" thickTop="1" thickBot="1" x14ac:dyDescent="0.3">
      <c r="B30" s="1">
        <v>8</v>
      </c>
      <c r="C30" s="13">
        <f t="shared" si="2"/>
        <v>100140481</v>
      </c>
      <c r="D30" s="14">
        <f>3720*D19</f>
        <v>258696240</v>
      </c>
      <c r="E30" s="15">
        <v>0.35</v>
      </c>
      <c r="F30" s="16">
        <f>279.84*D19</f>
        <v>19460633.279999997</v>
      </c>
      <c r="G30" s="17">
        <f t="shared" si="3"/>
        <v>38989366.719999999</v>
      </c>
      <c r="J30" s="68"/>
      <c r="N30" s="23">
        <f>SUM(N24:N29)</f>
        <v>22900000</v>
      </c>
      <c r="U30" s="40"/>
      <c r="W30" s="19">
        <f>+X29+1</f>
        <v>258696241</v>
      </c>
      <c r="X30" s="19">
        <f>1800*X19</f>
        <v>0</v>
      </c>
      <c r="Y30" s="20">
        <v>0.4</v>
      </c>
      <c r="Z30" s="21">
        <f>465.84*X18</f>
        <v>32395445.279999997</v>
      </c>
      <c r="AA30" s="22">
        <f>IF($AD$4&gt;=W30,($AD$4*Y30)-Z30,0)</f>
        <v>0</v>
      </c>
      <c r="AB30" s="23"/>
      <c r="AC30" s="47"/>
    </row>
    <row r="31" spans="2:29" ht="15.75" thickBot="1" x14ac:dyDescent="0.3">
      <c r="C31" s="19">
        <f>+D30+1</f>
        <v>258696241</v>
      </c>
      <c r="D31" s="90" t="s">
        <v>105</v>
      </c>
      <c r="E31" s="20">
        <v>0.4</v>
      </c>
      <c r="F31" s="21">
        <f>465.84*D19</f>
        <v>32395445.279999997</v>
      </c>
      <c r="G31" s="22">
        <f>IF($G$21&gt;=C31,($G$21*E31)-F31,0)</f>
        <v>0</v>
      </c>
      <c r="J31" s="68"/>
      <c r="U31" s="40"/>
      <c r="W31" s="23"/>
      <c r="X31" s="3"/>
      <c r="Y31" s="24"/>
      <c r="Z31" s="25"/>
      <c r="AA31" s="23"/>
      <c r="AB31" s="23"/>
      <c r="AC31" s="47"/>
    </row>
    <row r="32" spans="2:29" x14ac:dyDescent="0.25">
      <c r="D32" s="26"/>
      <c r="F32" s="27" t="s">
        <v>9</v>
      </c>
      <c r="G32" s="28">
        <f>SUM(G24:G31)</f>
        <v>38989366.719999999</v>
      </c>
      <c r="J32" s="68"/>
      <c r="M32" s="3" t="s">
        <v>92</v>
      </c>
      <c r="N32" s="23">
        <f>N21-N30</f>
        <v>19100000</v>
      </c>
      <c r="O32" s="23"/>
      <c r="P32" s="39" t="s">
        <v>107</v>
      </c>
      <c r="Q32" s="1" t="s">
        <v>126</v>
      </c>
      <c r="U32" s="40"/>
      <c r="Z32" s="27" t="s">
        <v>9</v>
      </c>
      <c r="AA32" s="28">
        <f>SUM(AA23:AA30)</f>
        <v>0</v>
      </c>
      <c r="AB32" s="23"/>
      <c r="AC32" s="47"/>
    </row>
    <row r="33" spans="3:29" x14ac:dyDescent="0.25">
      <c r="F33" s="27" t="s">
        <v>101</v>
      </c>
      <c r="G33" s="28">
        <f>IF(D8&gt;G32,G32,D8)*-1</f>
        <v>-700000</v>
      </c>
      <c r="H33" s="4"/>
      <c r="J33" s="68"/>
      <c r="U33" s="40"/>
      <c r="Z33" s="3" t="s">
        <v>10</v>
      </c>
      <c r="AA33" s="4">
        <f>X41/X40*X42*0.65</f>
        <v>0</v>
      </c>
      <c r="AB33" s="37">
        <v>0.65</v>
      </c>
      <c r="AC33" s="42"/>
    </row>
    <row r="34" spans="3:29" x14ac:dyDescent="0.25">
      <c r="F34" s="3" t="s">
        <v>99</v>
      </c>
      <c r="G34" s="23">
        <f>F13*-1</f>
        <v>-5800000</v>
      </c>
      <c r="H34" s="4"/>
      <c r="J34" s="68"/>
      <c r="L34" s="39">
        <v>16</v>
      </c>
      <c r="M34" s="38" t="s">
        <v>110</v>
      </c>
      <c r="N34" s="23">
        <f>D5+D5*O35</f>
        <v>35525000</v>
      </c>
      <c r="O34" s="23"/>
      <c r="U34" s="40"/>
      <c r="Z34" s="3" t="s">
        <v>11</v>
      </c>
      <c r="AA34" s="4">
        <f>+AA32-AA33</f>
        <v>0</v>
      </c>
      <c r="AB34" s="4"/>
      <c r="AC34" s="42"/>
    </row>
    <row r="35" spans="3:29" ht="15.75" thickBot="1" x14ac:dyDescent="0.3">
      <c r="F35" s="1" t="s">
        <v>100</v>
      </c>
      <c r="G35" s="23">
        <f>H12*-1</f>
        <v>-6142500</v>
      </c>
      <c r="J35" s="68"/>
      <c r="M35" s="3" t="s">
        <v>109</v>
      </c>
      <c r="N35" s="84">
        <f>(D1*D2)*O35</f>
        <v>10500000</v>
      </c>
      <c r="O35" s="95">
        <v>1.4999999999999999E-2</v>
      </c>
      <c r="P35" s="72" t="s">
        <v>114</v>
      </c>
      <c r="Q35" s="1" t="s">
        <v>95</v>
      </c>
      <c r="U35" s="40"/>
      <c r="AA35" s="4"/>
      <c r="AB35" s="4"/>
      <c r="AC35" s="42"/>
    </row>
    <row r="36" spans="3:29" ht="15.75" thickBot="1" x14ac:dyDescent="0.3">
      <c r="F36" s="3" t="str">
        <f>IF(G36&lt;=0,"Devolución","Pago")</f>
        <v>Pago</v>
      </c>
      <c r="G36" s="76">
        <f>SUM(G32:G35)</f>
        <v>26346866.719999999</v>
      </c>
      <c r="J36" s="68"/>
      <c r="M36" s="3" t="s">
        <v>121</v>
      </c>
      <c r="N36" s="76">
        <f>N32-N34+N35</f>
        <v>-5925000</v>
      </c>
      <c r="U36" s="40"/>
      <c r="V36" s="58"/>
      <c r="W36" s="58"/>
      <c r="X36" s="58"/>
      <c r="Y36" s="58"/>
      <c r="Z36" s="58"/>
      <c r="AA36" s="59"/>
      <c r="AB36" s="59"/>
      <c r="AC36" s="50"/>
    </row>
    <row r="37" spans="3:29" ht="21" x14ac:dyDescent="0.35">
      <c r="J37" s="68"/>
      <c r="M37" s="3"/>
      <c r="N37" s="4"/>
      <c r="O37" s="23"/>
      <c r="P37" s="23"/>
      <c r="U37" s="40"/>
      <c r="V37" s="58"/>
      <c r="W37" s="60" t="s">
        <v>38</v>
      </c>
      <c r="X37" s="58"/>
      <c r="Y37" s="58"/>
      <c r="Z37" s="58"/>
      <c r="AA37" s="59"/>
      <c r="AB37" s="59"/>
      <c r="AC37" s="50"/>
    </row>
    <row r="38" spans="3:29" x14ac:dyDescent="0.25">
      <c r="J38" s="68"/>
      <c r="O38" s="23"/>
      <c r="U38" s="40"/>
      <c r="W38" s="1" t="s">
        <v>106</v>
      </c>
      <c r="X38" s="29">
        <v>0.27</v>
      </c>
      <c r="AA38" s="49"/>
      <c r="AB38" s="49"/>
      <c r="AC38" s="50"/>
    </row>
    <row r="39" spans="3:29" x14ac:dyDescent="0.25">
      <c r="C39" s="1" t="s">
        <v>59</v>
      </c>
      <c r="J39" s="68"/>
      <c r="M39" s="87" t="s">
        <v>118</v>
      </c>
      <c r="U39" s="40"/>
      <c r="V39" s="4"/>
      <c r="W39" s="1" t="s">
        <v>30</v>
      </c>
      <c r="X39" s="2">
        <f>N36</f>
        <v>-5925000</v>
      </c>
      <c r="Y39" s="4"/>
      <c r="Z39" s="4"/>
      <c r="AA39" s="4"/>
      <c r="AB39" s="4"/>
      <c r="AC39" s="42"/>
    </row>
    <row r="40" spans="3:29" x14ac:dyDescent="0.25">
      <c r="J40" s="68"/>
      <c r="M40" s="3" t="s">
        <v>123</v>
      </c>
      <c r="N40" s="23">
        <f>N32*L34</f>
        <v>305600000</v>
      </c>
      <c r="P40" s="1" t="s">
        <v>126</v>
      </c>
      <c r="U40" s="40"/>
      <c r="V40" s="4"/>
      <c r="W40" s="1" t="s">
        <v>31</v>
      </c>
      <c r="X40" s="51">
        <v>1</v>
      </c>
      <c r="AA40" s="49"/>
      <c r="AB40" s="49"/>
      <c r="AC40" s="50"/>
    </row>
    <row r="41" spans="3:29" x14ac:dyDescent="0.25">
      <c r="J41" s="68"/>
      <c r="M41" s="3" t="s">
        <v>120</v>
      </c>
      <c r="N41" s="23">
        <f>M72</f>
        <v>130255133.21637669</v>
      </c>
      <c r="O41" s="37"/>
      <c r="P41" s="23">
        <f>N32*L34</f>
        <v>305600000</v>
      </c>
      <c r="Q41" s="1" t="s">
        <v>127</v>
      </c>
      <c r="U41" s="40"/>
      <c r="W41" s="1" t="s">
        <v>32</v>
      </c>
      <c r="X41" s="4">
        <f>IF(X39&lt;1,0,X39*X38)</f>
        <v>0</v>
      </c>
      <c r="Y41" s="49"/>
      <c r="AA41" s="49"/>
      <c r="AB41" s="49"/>
      <c r="AC41" s="50"/>
    </row>
    <row r="42" spans="3:29" x14ac:dyDescent="0.25">
      <c r="J42" s="68"/>
      <c r="M42" s="3" t="s">
        <v>110</v>
      </c>
      <c r="N42" s="89">
        <f>N72</f>
        <v>434708777.38792229</v>
      </c>
      <c r="P42" s="89">
        <f>D2*D1*10/100</f>
        <v>70000000</v>
      </c>
      <c r="Q42" s="1" t="s">
        <v>128</v>
      </c>
      <c r="U42" s="40"/>
      <c r="V42" s="49"/>
      <c r="W42" s="1" t="s">
        <v>33</v>
      </c>
      <c r="X42" s="57">
        <v>1</v>
      </c>
      <c r="Y42" s="49"/>
      <c r="AA42" s="49"/>
      <c r="AB42" s="49"/>
      <c r="AC42" s="50"/>
    </row>
    <row r="43" spans="3:29" x14ac:dyDescent="0.25">
      <c r="J43" s="68"/>
      <c r="N43" s="23">
        <f>N40+N41-N42</f>
        <v>1146355.8284543753</v>
      </c>
      <c r="P43" s="23">
        <f>P41+P42</f>
        <v>375600000</v>
      </c>
      <c r="U43" s="40"/>
      <c r="V43" s="49"/>
      <c r="W43" s="49"/>
      <c r="X43" s="49"/>
      <c r="Y43" s="49"/>
      <c r="AA43" s="49"/>
      <c r="AB43" s="49"/>
      <c r="AC43" s="50"/>
    </row>
    <row r="44" spans="3:29" x14ac:dyDescent="0.25">
      <c r="J44" s="68"/>
      <c r="U44" s="40"/>
      <c r="V44" s="50"/>
      <c r="W44" s="40"/>
      <c r="X44" s="40"/>
      <c r="Y44" s="40"/>
      <c r="Z44" s="40"/>
      <c r="AA44" s="40"/>
      <c r="AB44" s="50"/>
      <c r="AC44" s="50"/>
    </row>
    <row r="45" spans="3:29" x14ac:dyDescent="0.25">
      <c r="J45" s="68"/>
      <c r="V45" s="49"/>
      <c r="AA45" s="52"/>
      <c r="AB45" s="49"/>
      <c r="AC45" s="49"/>
    </row>
    <row r="46" spans="3:29" x14ac:dyDescent="0.25">
      <c r="J46" s="68"/>
      <c r="V46" s="49"/>
      <c r="X46" s="4"/>
      <c r="Y46" s="4"/>
      <c r="Z46" s="53" t="s">
        <v>34</v>
      </c>
      <c r="AA46" s="4">
        <f>+X41</f>
        <v>0</v>
      </c>
      <c r="AB46" s="49"/>
      <c r="AC46" s="49"/>
    </row>
    <row r="47" spans="3:29" ht="15.75" thickBot="1" x14ac:dyDescent="0.3">
      <c r="J47" s="68"/>
      <c r="M47" s="1" t="s">
        <v>87</v>
      </c>
      <c r="N47" s="23">
        <f>IF(N36&gt;0,N36*27/100,0)</f>
        <v>0</v>
      </c>
      <c r="X47" s="4"/>
      <c r="Z47" s="53" t="s">
        <v>35</v>
      </c>
      <c r="AA47" s="54">
        <f>+AA34*X40</f>
        <v>0</v>
      </c>
      <c r="AB47" s="49"/>
      <c r="AC47" s="49"/>
    </row>
    <row r="48" spans="3:29" ht="15.75" thickBot="1" x14ac:dyDescent="0.3">
      <c r="J48" s="68"/>
      <c r="M48" s="1" t="s">
        <v>97</v>
      </c>
      <c r="N48" s="4">
        <f>AA47</f>
        <v>0</v>
      </c>
      <c r="V48" s="55" t="s">
        <v>36</v>
      </c>
      <c r="X48" s="4"/>
      <c r="Z48" s="53" t="s">
        <v>37</v>
      </c>
      <c r="AA48" s="56">
        <f>+AA46+AA47</f>
        <v>0</v>
      </c>
      <c r="AB48" s="49"/>
      <c r="AC48" s="49"/>
    </row>
    <row r="49" spans="10:18" ht="15.75" thickBot="1" x14ac:dyDescent="0.3">
      <c r="J49" s="68"/>
      <c r="M49" s="73" t="s">
        <v>96</v>
      </c>
      <c r="N49" s="76">
        <f>+N47+N48</f>
        <v>0</v>
      </c>
    </row>
    <row r="50" spans="10:18" x14ac:dyDescent="0.25">
      <c r="J50" s="68"/>
    </row>
    <row r="51" spans="10:18" x14ac:dyDescent="0.25">
      <c r="J51" s="68"/>
    </row>
    <row r="52" spans="10:18" x14ac:dyDescent="0.25">
      <c r="J52" s="68"/>
    </row>
    <row r="53" spans="10:18" x14ac:dyDescent="0.25">
      <c r="J53" s="68"/>
      <c r="L53" s="1" t="s">
        <v>122</v>
      </c>
    </row>
    <row r="54" spans="10:18" x14ac:dyDescent="0.25">
      <c r="J54" s="68"/>
    </row>
    <row r="55" spans="10:18" x14ac:dyDescent="0.25">
      <c r="J55" s="68"/>
      <c r="L55" s="3" t="s">
        <v>117</v>
      </c>
      <c r="M55" s="3" t="s">
        <v>116</v>
      </c>
      <c r="N55" s="86" t="s">
        <v>119</v>
      </c>
      <c r="P55" s="1" t="s">
        <v>125</v>
      </c>
      <c r="R55" s="1" t="s">
        <v>124</v>
      </c>
    </row>
    <row r="56" spans="10:18" x14ac:dyDescent="0.25">
      <c r="J56" s="68"/>
      <c r="L56" s="1">
        <v>1</v>
      </c>
      <c r="M56" s="23">
        <f>D2*D1*O35</f>
        <v>10500000</v>
      </c>
      <c r="N56" s="23">
        <f>(D2*D1+M56)*0.8/L34</f>
        <v>35525000</v>
      </c>
      <c r="O56" s="23"/>
      <c r="P56" s="23">
        <f>D2*D1+M56-N56</f>
        <v>674975000</v>
      </c>
      <c r="R56" s="23">
        <f>N32+M56-N56</f>
        <v>-5925000</v>
      </c>
    </row>
    <row r="57" spans="10:18" x14ac:dyDescent="0.25">
      <c r="J57" s="68"/>
      <c r="L57" s="1">
        <v>2</v>
      </c>
      <c r="M57" s="23">
        <f>P56*$O$35</f>
        <v>10124625</v>
      </c>
      <c r="N57" s="23">
        <f>P56*0.8/$L$34</f>
        <v>33748750</v>
      </c>
      <c r="P57" s="23">
        <f>P56+M57-N57</f>
        <v>651350875</v>
      </c>
      <c r="R57" s="23">
        <f>$N$32+M57-N57+R56</f>
        <v>-10449125</v>
      </c>
    </row>
    <row r="58" spans="10:18" x14ac:dyDescent="0.25">
      <c r="J58" s="68"/>
      <c r="L58" s="1">
        <v>3</v>
      </c>
      <c r="M58" s="23">
        <f t="shared" ref="M58:M71" si="4">P57*$O$35</f>
        <v>9770263.125</v>
      </c>
      <c r="N58" s="23">
        <f>P57*0.8/$L$34</f>
        <v>32567543.75</v>
      </c>
      <c r="P58" s="23">
        <f t="shared" ref="P58:P71" si="5">P57+M58-N58</f>
        <v>628553594.375</v>
      </c>
      <c r="R58" s="23">
        <f t="shared" ref="R58:R71" si="6">$N$32+M58-N58+R57</f>
        <v>-14146405.625</v>
      </c>
    </row>
    <row r="59" spans="10:18" x14ac:dyDescent="0.25">
      <c r="J59" s="68"/>
      <c r="L59" s="1">
        <v>4</v>
      </c>
      <c r="M59" s="23">
        <f t="shared" si="4"/>
        <v>9428303.9156250004</v>
      </c>
      <c r="N59" s="23">
        <f t="shared" ref="N59:N71" si="7">P58*0.8/$L$34</f>
        <v>31427679.71875</v>
      </c>
      <c r="P59" s="23">
        <f t="shared" si="5"/>
        <v>606554218.57187498</v>
      </c>
      <c r="R59" s="23">
        <f t="shared" si="6"/>
        <v>-17045781.428125001</v>
      </c>
    </row>
    <row r="60" spans="10:18" x14ac:dyDescent="0.25">
      <c r="J60" s="68"/>
      <c r="L60" s="1">
        <v>5</v>
      </c>
      <c r="M60" s="23">
        <f t="shared" si="4"/>
        <v>9098313.2785781249</v>
      </c>
      <c r="N60" s="23">
        <f t="shared" si="7"/>
        <v>30327710.928593751</v>
      </c>
      <c r="P60" s="23">
        <f t="shared" si="5"/>
        <v>585324820.92185938</v>
      </c>
      <c r="R60" s="23">
        <f t="shared" si="6"/>
        <v>-19175179.078140628</v>
      </c>
    </row>
    <row r="61" spans="10:18" x14ac:dyDescent="0.25">
      <c r="J61" s="68"/>
      <c r="L61" s="1">
        <v>6</v>
      </c>
      <c r="M61" s="23">
        <f t="shared" si="4"/>
        <v>8779872.3138278909</v>
      </c>
      <c r="N61" s="23">
        <f t="shared" si="7"/>
        <v>29266241.046092972</v>
      </c>
      <c r="P61" s="23">
        <f t="shared" si="5"/>
        <v>564838452.18959427</v>
      </c>
      <c r="R61" s="23">
        <f t="shared" si="6"/>
        <v>-20561547.810405709</v>
      </c>
    </row>
    <row r="62" spans="10:18" x14ac:dyDescent="0.25">
      <c r="J62" s="68"/>
      <c r="L62" s="1">
        <v>7</v>
      </c>
      <c r="M62" s="23">
        <f t="shared" si="4"/>
        <v>8472576.7828439139</v>
      </c>
      <c r="N62" s="23">
        <f t="shared" si="7"/>
        <v>28241922.609479714</v>
      </c>
      <c r="P62" s="23">
        <f t="shared" si="5"/>
        <v>545069106.36295855</v>
      </c>
      <c r="R62" s="23">
        <f t="shared" si="6"/>
        <v>-21230893.637041509</v>
      </c>
    </row>
    <row r="63" spans="10:18" x14ac:dyDescent="0.25">
      <c r="J63" s="68"/>
      <c r="L63" s="1">
        <v>8</v>
      </c>
      <c r="M63" s="23">
        <f t="shared" si="4"/>
        <v>8176036.5954443775</v>
      </c>
      <c r="N63" s="23">
        <f t="shared" si="7"/>
        <v>27253455.318147928</v>
      </c>
      <c r="P63" s="23">
        <f t="shared" si="5"/>
        <v>525991687.64025497</v>
      </c>
      <c r="R63" s="23">
        <f t="shared" si="6"/>
        <v>-21208312.359745059</v>
      </c>
    </row>
    <row r="64" spans="10:18" x14ac:dyDescent="0.25">
      <c r="J64" s="68"/>
      <c r="L64" s="1">
        <v>9</v>
      </c>
      <c r="M64" s="23">
        <f t="shared" si="4"/>
        <v>7889875.3146038242</v>
      </c>
      <c r="N64" s="23">
        <f t="shared" si="7"/>
        <v>26299584.382012751</v>
      </c>
      <c r="P64" s="23">
        <f t="shared" si="5"/>
        <v>507581978.57284606</v>
      </c>
      <c r="R64" s="23">
        <f t="shared" si="6"/>
        <v>-20518021.427153986</v>
      </c>
    </row>
    <row r="65" spans="10:18" x14ac:dyDescent="0.25">
      <c r="J65" s="68"/>
      <c r="L65" s="1">
        <v>10</v>
      </c>
      <c r="M65" s="23">
        <f t="shared" si="4"/>
        <v>7613729.6785926903</v>
      </c>
      <c r="N65" s="23">
        <f t="shared" si="7"/>
        <v>25379098.928642303</v>
      </c>
      <c r="P65" s="23">
        <f t="shared" si="5"/>
        <v>489816609.32279646</v>
      </c>
      <c r="R65" s="23">
        <f t="shared" si="6"/>
        <v>-19183390.677203599</v>
      </c>
    </row>
    <row r="66" spans="10:18" x14ac:dyDescent="0.25">
      <c r="J66" s="68"/>
      <c r="L66" s="1">
        <v>11</v>
      </c>
      <c r="M66" s="23">
        <f t="shared" si="4"/>
        <v>7347249.1398419468</v>
      </c>
      <c r="N66" s="23">
        <f t="shared" si="7"/>
        <v>24490830.466139823</v>
      </c>
      <c r="P66" s="23">
        <f t="shared" si="5"/>
        <v>472673027.99649858</v>
      </c>
      <c r="R66" s="23">
        <f t="shared" si="6"/>
        <v>-17226972.003501475</v>
      </c>
    </row>
    <row r="67" spans="10:18" x14ac:dyDescent="0.25">
      <c r="J67" s="68"/>
      <c r="L67" s="1">
        <v>12</v>
      </c>
      <c r="M67" s="23">
        <f t="shared" si="4"/>
        <v>7090095.4199474789</v>
      </c>
      <c r="N67" s="23">
        <f t="shared" si="7"/>
        <v>23633651.399824932</v>
      </c>
      <c r="P67" s="23">
        <f t="shared" si="5"/>
        <v>456129472.01662117</v>
      </c>
      <c r="R67" s="23">
        <f t="shared" si="6"/>
        <v>-14670527.983378928</v>
      </c>
    </row>
    <row r="68" spans="10:18" x14ac:dyDescent="0.25">
      <c r="J68" s="68"/>
      <c r="L68" s="1">
        <v>13</v>
      </c>
      <c r="M68" s="23">
        <f t="shared" si="4"/>
        <v>6841942.080249317</v>
      </c>
      <c r="N68" s="23">
        <f t="shared" si="7"/>
        <v>22806473.600831062</v>
      </c>
      <c r="P68" s="23">
        <f t="shared" si="5"/>
        <v>440164940.49603939</v>
      </c>
      <c r="R68" s="23">
        <f t="shared" si="6"/>
        <v>-11535059.503960673</v>
      </c>
    </row>
    <row r="69" spans="10:18" x14ac:dyDescent="0.25">
      <c r="J69" s="68"/>
      <c r="L69" s="1">
        <v>14</v>
      </c>
      <c r="M69" s="23">
        <f t="shared" si="4"/>
        <v>6602474.1074405909</v>
      </c>
      <c r="N69" s="23">
        <f t="shared" si="7"/>
        <v>22008247.02480197</v>
      </c>
      <c r="P69" s="23">
        <f t="shared" si="5"/>
        <v>424759167.57867801</v>
      </c>
      <c r="R69" s="23">
        <f t="shared" si="6"/>
        <v>-7840832.4213220514</v>
      </c>
    </row>
    <row r="70" spans="10:18" x14ac:dyDescent="0.25">
      <c r="J70" s="68"/>
      <c r="L70" s="1">
        <v>15</v>
      </c>
      <c r="M70" s="23">
        <f t="shared" si="4"/>
        <v>6371387.5136801703</v>
      </c>
      <c r="N70" s="23">
        <f t="shared" si="7"/>
        <v>21237958.378933903</v>
      </c>
      <c r="P70" s="23">
        <f t="shared" si="5"/>
        <v>409892596.71342427</v>
      </c>
      <c r="R70" s="23">
        <f t="shared" si="6"/>
        <v>-3607403.286575783</v>
      </c>
    </row>
    <row r="71" spans="10:18" x14ac:dyDescent="0.25">
      <c r="J71" s="68"/>
      <c r="L71" s="1">
        <v>16</v>
      </c>
      <c r="M71" s="89">
        <f t="shared" si="4"/>
        <v>6148388.9507013634</v>
      </c>
      <c r="N71" s="89">
        <f t="shared" si="7"/>
        <v>20494629.835671216</v>
      </c>
      <c r="P71" s="23">
        <f t="shared" si="5"/>
        <v>395546355.82845438</v>
      </c>
      <c r="R71" s="23">
        <f t="shared" si="6"/>
        <v>1146355.8284543641</v>
      </c>
    </row>
    <row r="72" spans="10:18" x14ac:dyDescent="0.25">
      <c r="J72" s="68"/>
      <c r="M72" s="23">
        <f>SUM(M56:M71)</f>
        <v>130255133.21637669</v>
      </c>
      <c r="N72" s="23">
        <f>SUM(N56:N71)</f>
        <v>434708777.38792229</v>
      </c>
    </row>
    <row r="73" spans="10:18" x14ac:dyDescent="0.25">
      <c r="J73" s="68"/>
    </row>
    <row r="74" spans="10:18" x14ac:dyDescent="0.25">
      <c r="J74" s="68"/>
    </row>
  </sheetData>
  <mergeCells count="1">
    <mergeCell ref="C22:G22"/>
  </mergeCells>
  <hyperlinks>
    <hyperlink ref="P35" r:id="rId1" xr:uid="{541C2F1E-EAAB-4475-BD58-BA592F810F1A}"/>
    <hyperlink ref="C16" r:id="rId2" xr:uid="{4B2706B0-E04F-47C2-BC6A-F8C517B99205}"/>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7209A-898E-42A0-B18D-4F5562BFC8B3}">
  <dimension ref="C8:S70"/>
  <sheetViews>
    <sheetView topLeftCell="G1" zoomScale="150" zoomScaleNormal="150" workbookViewId="0">
      <selection activeCell="S19" sqref="S19"/>
    </sheetView>
  </sheetViews>
  <sheetFormatPr baseColWidth="10" defaultRowHeight="15" x14ac:dyDescent="0.25"/>
  <cols>
    <col min="1" max="15" width="11.42578125" style="1"/>
    <col min="16" max="16" width="15.140625" style="1" bestFit="1" customWidth="1"/>
    <col min="17" max="17" width="5.85546875" style="1" bestFit="1" customWidth="1"/>
    <col min="18" max="18" width="24.85546875" style="1" customWidth="1"/>
    <col min="19" max="19" width="23.140625" style="1" bestFit="1" customWidth="1"/>
    <col min="20" max="16384" width="11.42578125" style="1"/>
  </cols>
  <sheetData>
    <row r="8" spans="16:19" ht="28.5" x14ac:dyDescent="0.45">
      <c r="P8" s="91"/>
      <c r="Q8" s="91"/>
      <c r="R8" s="94" t="s">
        <v>85</v>
      </c>
      <c r="S8" s="92">
        <v>100000000</v>
      </c>
    </row>
    <row r="9" spans="16:19" ht="28.5" x14ac:dyDescent="0.45">
      <c r="P9" s="91"/>
      <c r="Q9" s="91"/>
      <c r="R9" s="94" t="s">
        <v>90</v>
      </c>
      <c r="S9" s="93">
        <v>20000000</v>
      </c>
    </row>
    <row r="10" spans="16:19" ht="28.5" x14ac:dyDescent="0.45">
      <c r="P10" s="91"/>
      <c r="Q10" s="91"/>
      <c r="R10" s="91"/>
      <c r="S10" s="92">
        <f>+S8-S9</f>
        <v>80000000</v>
      </c>
    </row>
    <row r="11" spans="16:19" ht="28.5" x14ac:dyDescent="0.45">
      <c r="P11" s="94" t="s">
        <v>86</v>
      </c>
      <c r="Q11" s="91">
        <v>16</v>
      </c>
      <c r="R11" s="94" t="s">
        <v>111</v>
      </c>
      <c r="S11" s="92">
        <f>S10/Q11</f>
        <v>5000000</v>
      </c>
    </row>
    <row r="12" spans="16:19" x14ac:dyDescent="0.25">
      <c r="S12" s="23"/>
    </row>
    <row r="13" spans="16:19" ht="26.25" x14ac:dyDescent="0.4">
      <c r="S13" s="66"/>
    </row>
    <row r="30" spans="3:3" x14ac:dyDescent="0.25">
      <c r="C30" s="1" t="s">
        <v>60</v>
      </c>
    </row>
    <row r="32" spans="3:3" x14ac:dyDescent="0.25">
      <c r="C32" s="1" t="s">
        <v>61</v>
      </c>
    </row>
    <row r="34" spans="3:3" x14ac:dyDescent="0.25">
      <c r="C34" s="1" t="s">
        <v>62</v>
      </c>
    </row>
    <row r="36" spans="3:3" x14ac:dyDescent="0.25">
      <c r="C36" s="1" t="s">
        <v>63</v>
      </c>
    </row>
    <row r="38" spans="3:3" x14ac:dyDescent="0.25">
      <c r="C38" s="1" t="s">
        <v>64</v>
      </c>
    </row>
    <row r="40" spans="3:3" x14ac:dyDescent="0.25">
      <c r="C40" s="1" t="s">
        <v>65</v>
      </c>
    </row>
    <row r="42" spans="3:3" x14ac:dyDescent="0.25">
      <c r="C42" s="1" t="s">
        <v>66</v>
      </c>
    </row>
    <row r="44" spans="3:3" x14ac:dyDescent="0.25">
      <c r="C44" s="1" t="s">
        <v>67</v>
      </c>
    </row>
    <row r="46" spans="3:3" x14ac:dyDescent="0.25">
      <c r="C46" s="1" t="s">
        <v>68</v>
      </c>
    </row>
    <row r="48" spans="3:3" x14ac:dyDescent="0.25">
      <c r="C48" s="1" t="s">
        <v>69</v>
      </c>
    </row>
    <row r="50" spans="3:3" x14ac:dyDescent="0.25">
      <c r="C50" s="1" t="s">
        <v>70</v>
      </c>
    </row>
    <row r="52" spans="3:3" x14ac:dyDescent="0.25">
      <c r="C52" s="1" t="s">
        <v>71</v>
      </c>
    </row>
    <row r="54" spans="3:3" x14ac:dyDescent="0.25">
      <c r="C54" s="1" t="s">
        <v>72</v>
      </c>
    </row>
    <row r="56" spans="3:3" x14ac:dyDescent="0.25">
      <c r="C56" s="1" t="s">
        <v>73</v>
      </c>
    </row>
    <row r="58" spans="3:3" x14ac:dyDescent="0.25">
      <c r="C58" s="1" t="s">
        <v>74</v>
      </c>
    </row>
    <row r="60" spans="3:3" x14ac:dyDescent="0.25">
      <c r="C60" s="1" t="s">
        <v>75</v>
      </c>
    </row>
    <row r="62" spans="3:3" x14ac:dyDescent="0.25">
      <c r="C62" s="1" t="s">
        <v>76</v>
      </c>
    </row>
    <row r="64" spans="3:3" x14ac:dyDescent="0.25">
      <c r="C64" s="1" t="s">
        <v>77</v>
      </c>
    </row>
    <row r="65" spans="3:3" x14ac:dyDescent="0.25">
      <c r="C65" s="1" t="s">
        <v>78</v>
      </c>
    </row>
    <row r="66" spans="3:3" x14ac:dyDescent="0.25">
      <c r="C66" s="1" t="s">
        <v>79</v>
      </c>
    </row>
    <row r="67" spans="3:3" x14ac:dyDescent="0.25">
      <c r="C67" s="1" t="s">
        <v>80</v>
      </c>
    </row>
    <row r="68" spans="3:3" x14ac:dyDescent="0.25">
      <c r="C68" s="1" t="s">
        <v>81</v>
      </c>
    </row>
    <row r="69" spans="3:3" x14ac:dyDescent="0.25">
      <c r="C69" s="1" t="s">
        <v>82</v>
      </c>
    </row>
    <row r="70" spans="3:3" x14ac:dyDescent="0.25">
      <c r="C70" s="1" t="s">
        <v>83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x F C W Y D 5 9 v u j A A A A 9 Q A A A B I A H A B D b 2 5 m a W c v U G F j a 2 F n Z S 5 4 b W w g o h g A K K A U A A A A A A A A A A A A A A A A A A A A A A A A A A A A h Y 8 x D o I w G I W v Q r r T l h K j I T 9 l Y I X E x M S 4 N q V C I x R D i + V u D h 7 J K 4 h R 1 M 3 x f e 8 b 3 r t f b 5 B N X R t c 1 G B 1 b 1 I U Y Y o C Z W R f a V O n a H T H c I M y D l s h T 6 J W w S w b m 0 y 2 S l H j 3 D k h x H u P f Y z 7 o S a M 0 o g c y m I n G 9 U J 9 J H 1 f z n U x j p h p E I c 9 q 8 x n O E o j v F q j S m Q h U G p z b d n 8 9 x n + w M h H 1 s 3 D o o r G + Y F k C U C e V / g D 1 B L A w Q U A A I A C A A 7 E U J 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x F C W S i K R 7 g O A A A A E Q A A A B M A H A B G b 3 J t d W x h c y 9 T Z W N 0 a W 9 u M S 5 t I K I Y A C i g F A A A A A A A A A A A A A A A A A A A A A A A A A A A A C t O T S 7 J z M 9 T C I b Q h t Y A U E s B A i 0 A F A A C A A g A O x F C W Y D 5 9 v u j A A A A 9 Q A A A B I A A A A A A A A A A A A A A A A A A A A A A E N v b m Z p Z y 9 Q Y W N r Y W d l L n h t b F B L A Q I t A B Q A A g A I A D s R Q l k P y u m r p A A A A O k A A A A T A A A A A A A A A A A A A A A A A O 8 A A A B b Q 2 9 u d G V u d F 9 U e X B l c 1 0 u e G 1 s U E s B A i 0 A F A A C A A g A O x F C W 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L I 5 V E X k t 9 x E i z 7 p q 4 f b / 1 U A A A A A A g A A A A A A E G Y A A A A B A A A g A A A A 0 D d P l i Z Y O x f p k D 3 a g 7 + h 7 1 f t p A b A I e a i + B Y I k X c L J u o A A A A A D o A A A A A C A A A g A A A A 2 F d 6 y H t y E Q o V N / 2 7 h 2 4 l Q k u D k a M 1 x n e V a 1 l q P k K q p Q l Q A A A A E P a K r 5 T 4 r / G o 7 W A B T v O G T a 9 I + K y 5 G + u L x 9 p z U E O x z S y M p I e 8 V d Q o P C h B H 3 U 3 K i P 4 i N V U 1 C W T r b h a n b D N K x 3 A F r 5 f h g / y A y T P a i w F h G B V y q R A A A A A S + r K c q p X + / f / E c r E 9 l d R S x x n U Y 0 0 k O q I 5 i H + d u A g 1 Y a f 2 z l s 7 T 1 I s E c Z R h V 7 9 I H m D Z / a o b j V U + g x Q N M O + B s i Q A = = < / D a t a M a s h u p > 
</file>

<file path=customXml/itemProps1.xml><?xml version="1.0" encoding="utf-8"?>
<ds:datastoreItem xmlns:ds="http://schemas.openxmlformats.org/officeDocument/2006/customXml" ds:itemID="{6C1374E7-B616-473F-B159-7459DF3815B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global grafico</vt:lpstr>
      <vt:lpstr>compara glogal  primera</vt:lpstr>
      <vt:lpstr>DEPRECIACION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brown soto</dc:creator>
  <cp:lastModifiedBy>daniel brown soto</cp:lastModifiedBy>
  <dcterms:created xsi:type="dcterms:W3CDTF">2021-02-08T02:06:29Z</dcterms:created>
  <dcterms:modified xsi:type="dcterms:W3CDTF">2026-01-12T15:24:18Z</dcterms:modified>
</cp:coreProperties>
</file>